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735" windowHeight="13635" activeTab="2"/>
  </bookViews>
  <sheets>
    <sheet name="calculatte" sheetId="1" r:id="rId1"/>
    <sheet name="triangle" sheetId="2" r:id="rId2"/>
    <sheet name="exemples" sheetId="3" r:id="rId3"/>
  </sheets>
  <definedNames/>
  <calcPr fullCalcOnLoad="1"/>
</workbook>
</file>

<file path=xl/sharedStrings.xml><?xml version="1.0" encoding="utf-8"?>
<sst xmlns="http://schemas.openxmlformats.org/spreadsheetml/2006/main" count="100" uniqueCount="81">
  <si>
    <t>Puissance</t>
  </si>
  <si>
    <t>Appareil</t>
  </si>
  <si>
    <t>apparente</t>
  </si>
  <si>
    <t>active</t>
  </si>
  <si>
    <t>réactive</t>
  </si>
  <si>
    <t>W</t>
  </si>
  <si>
    <t>VAR</t>
  </si>
  <si>
    <t>VA</t>
  </si>
  <si>
    <t>cos( phi )</t>
  </si>
  <si>
    <t>Courant</t>
  </si>
  <si>
    <t>A</t>
  </si>
  <si>
    <t>Phi</t>
  </si>
  <si>
    <t>HT / kWh</t>
  </si>
  <si>
    <t>°</t>
  </si>
  <si>
    <t>Facteur</t>
  </si>
  <si>
    <t>Tarif</t>
  </si>
  <si>
    <t>Tension</t>
  </si>
  <si>
    <t>V.</t>
  </si>
  <si>
    <t>puissance</t>
  </si>
  <si>
    <t>Phase</t>
  </si>
  <si>
    <t>cts/kWh TTC</t>
  </si>
  <si>
    <t>VAH</t>
  </si>
  <si>
    <t>Prix/unité</t>
  </si>
  <si>
    <t>Surcoût</t>
  </si>
  <si>
    <t xml:space="preserve"> - congélo</t>
  </si>
  <si>
    <t>Electroménager</t>
  </si>
  <si>
    <t>Électronique</t>
  </si>
  <si>
    <t>Alim boîtier (disque dur)</t>
  </si>
  <si>
    <t>Lecteur DVD</t>
  </si>
  <si>
    <t>Alim autre</t>
  </si>
  <si>
    <t>V</t>
  </si>
  <si>
    <t>I</t>
  </si>
  <si>
    <t>T</t>
  </si>
  <si>
    <t>Déphasage =</t>
  </si>
  <si>
    <t>V RMS</t>
  </si>
  <si>
    <t>ohms</t>
  </si>
  <si>
    <t>Impédance Z</t>
  </si>
  <si>
    <t>Courant I</t>
  </si>
  <si>
    <t>Echelle</t>
  </si>
  <si>
    <t>graphique</t>
  </si>
  <si>
    <t>(Watts * n)</t>
  </si>
  <si>
    <t>Facteur de puissance [ cos(phi) ]</t>
  </si>
  <si>
    <t>Quelques exemples de la Puissance active (réelle) des appareils</t>
  </si>
  <si>
    <t>La Puissance réelle (active) et la puissance réactive qui sera comptée par un Linky</t>
  </si>
  <si>
    <t xml:space="preserve"> à partir de  la Tension et le Courant selon le déphasage d'un appareil</t>
  </si>
  <si>
    <t>Puissance active</t>
  </si>
  <si>
    <t>Puissance réactive</t>
  </si>
  <si>
    <t>Puissance apparente</t>
  </si>
  <si>
    <t>Le triangle de puissances pour l'appareil dans l'onglet "calculette"</t>
  </si>
  <si>
    <t>Convecteur passif</t>
  </si>
  <si>
    <t>Four micro-ondes</t>
  </si>
  <si>
    <t xml:space="preserve"> - essorage</t>
  </si>
  <si>
    <t xml:space="preserve"> - moteur tambour, lavage</t>
  </si>
  <si>
    <t>Ordinateur portable</t>
  </si>
  <si>
    <t>ainsi que leur puissance réactive (thérorique et non-exploitable) comptée par un Linky</t>
  </si>
  <si>
    <t>Aspirateur</t>
  </si>
  <si>
    <t>Poêle à pétrole - préchauffage</t>
  </si>
  <si>
    <t xml:space="preserve"> - fonctionnement</t>
  </si>
  <si>
    <t>Ordinateur tour seul</t>
  </si>
  <si>
    <t>Alim tour seule</t>
  </si>
  <si>
    <t>Chargeur tél. portable 1</t>
  </si>
  <si>
    <t>Frigo 1</t>
  </si>
  <si>
    <t>Frigo 2</t>
  </si>
  <si>
    <t>Lave-linge - chauffage</t>
  </si>
  <si>
    <t>"     2</t>
  </si>
  <si>
    <t>"     3</t>
  </si>
  <si>
    <t>Ensemble serveur complet</t>
  </si>
  <si>
    <t>Électromécanique</t>
  </si>
  <si>
    <t>Ampoules</t>
  </si>
  <si>
    <t>Incandescente/halogène 75W</t>
  </si>
  <si>
    <t>Fluocompacte 20W</t>
  </si>
  <si>
    <t>LED 10W</t>
  </si>
  <si>
    <t>Kärcher</t>
  </si>
  <si>
    <t>Perceuse</t>
  </si>
  <si>
    <t>Compresseur</t>
  </si>
  <si>
    <t>Chargeur de batterie</t>
  </si>
  <si>
    <t>Tondeuse</t>
  </si>
  <si>
    <t>Fendeuse de bois hydraulique</t>
  </si>
  <si>
    <t>Broyeur de végétaux</t>
  </si>
  <si>
    <t>Sèche-cheveux</t>
  </si>
  <si>
    <t xml:space="preserve"> - mi-puissance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</si>
</sst>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0\ &quot;€&quot;"/>
    <numFmt numFmtId="165" formatCode="#,##0.00\ &quot;€&quot;"/>
    <numFmt numFmtId="166" formatCode="0.0"/>
    <numFmt numFmtId="167" formatCode="#,##0\ &quot;€&quot;"/>
    <numFmt numFmtId="168" formatCode="#,##0.0"/>
    <numFmt numFmtId="169" formatCode="0.000"/>
  </numFmts>
  <fonts count="15">
    <font>
      <sz val="10"/>
      <name val="Arial"/>
      <family val="0"/>
    </font>
    <font>
      <b/>
      <sz val="10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b/>
      <sz val="10"/>
      <color indexed="14"/>
      <name val="Arial"/>
      <family val="2"/>
    </font>
    <font>
      <sz val="15.75"/>
      <name val="Arial"/>
      <family val="0"/>
    </font>
    <font>
      <b/>
      <sz val="15.75"/>
      <color indexed="33"/>
      <name val="Arial"/>
      <family val="2"/>
    </font>
    <font>
      <b/>
      <u val="single"/>
      <sz val="11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9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" fontId="0" fillId="0" borderId="0" xfId="0" applyNumberFormat="1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166" fontId="0" fillId="0" borderId="0" xfId="0" applyNumberFormat="1" applyAlignment="1">
      <alignment/>
    </xf>
    <xf numFmtId="164" fontId="1" fillId="0" borderId="0" xfId="0" applyNumberFormat="1" applyFont="1" applyAlignment="1">
      <alignment horizontal="right"/>
    </xf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left"/>
    </xf>
    <xf numFmtId="3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168" fontId="1" fillId="0" borderId="0" xfId="0" applyNumberFormat="1" applyFont="1" applyAlignment="1">
      <alignment/>
    </xf>
    <xf numFmtId="0" fontId="0" fillId="0" borderId="0" xfId="0" applyAlignment="1">
      <alignment/>
    </xf>
    <xf numFmtId="1" fontId="0" fillId="2" borderId="0" xfId="0" applyNumberFormat="1" applyFill="1" applyAlignment="1">
      <alignment/>
    </xf>
    <xf numFmtId="166" fontId="0" fillId="2" borderId="0" xfId="0" applyNumberFormat="1" applyFill="1" applyAlignment="1">
      <alignment/>
    </xf>
    <xf numFmtId="0" fontId="1" fillId="3" borderId="0" xfId="0" applyFont="1" applyFill="1" applyAlignment="1" applyProtection="1">
      <alignment/>
      <protection locked="0"/>
    </xf>
    <xf numFmtId="0" fontId="1" fillId="3" borderId="0" xfId="0" applyFont="1" applyFill="1" applyAlignment="1" applyProtection="1" quotePrefix="1">
      <alignment/>
      <protection locked="0"/>
    </xf>
    <xf numFmtId="169" fontId="0" fillId="4" borderId="0" xfId="0" applyNumberFormat="1" applyFill="1" applyAlignment="1" applyProtection="1">
      <alignment/>
      <protection locked="0"/>
    </xf>
    <xf numFmtId="2" fontId="0" fillId="4" borderId="0" xfId="0" applyNumberFormat="1" applyFill="1" applyAlignment="1" applyProtection="1">
      <alignment/>
      <protection locked="0"/>
    </xf>
    <xf numFmtId="9" fontId="7" fillId="2" borderId="0" xfId="0" applyNumberFormat="1" applyFont="1" applyFill="1" applyAlignment="1">
      <alignment/>
    </xf>
    <xf numFmtId="10" fontId="1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166" fontId="3" fillId="0" borderId="0" xfId="0" applyNumberFormat="1" applyFont="1" applyAlignment="1">
      <alignment horizontal="center"/>
    </xf>
    <xf numFmtId="2" fontId="0" fillId="4" borderId="0" xfId="0" applyNumberFormat="1" applyFont="1" applyFill="1" applyAlignment="1" applyProtection="1">
      <alignment/>
      <protection locked="0"/>
    </xf>
    <xf numFmtId="0" fontId="3" fillId="0" borderId="0" xfId="0" applyFont="1" applyAlignment="1">
      <alignment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right"/>
    </xf>
    <xf numFmtId="1" fontId="0" fillId="0" borderId="0" xfId="0" applyNumberFormat="1" applyFill="1" applyAlignment="1" applyProtection="1">
      <alignment/>
      <protection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4" fillId="0" borderId="0" xfId="0" applyFont="1" applyAlignment="1">
      <alignment/>
    </xf>
    <xf numFmtId="0" fontId="8" fillId="0" borderId="3" xfId="0" applyFont="1" applyFill="1" applyBorder="1" applyAlignment="1" applyProtection="1">
      <alignment/>
      <protection/>
    </xf>
    <xf numFmtId="0" fontId="11" fillId="0" borderId="0" xfId="0" applyFont="1" applyAlignment="1">
      <alignment/>
    </xf>
    <xf numFmtId="1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" fontId="8" fillId="0" borderId="0" xfId="0" applyNumberFormat="1" applyFont="1" applyAlignment="1">
      <alignment/>
    </xf>
    <xf numFmtId="1" fontId="12" fillId="0" borderId="0" xfId="0" applyNumberFormat="1" applyFont="1" applyAlignment="1">
      <alignment/>
    </xf>
    <xf numFmtId="1" fontId="13" fillId="0" borderId="0" xfId="0" applyNumberFormat="1" applyFont="1" applyAlignment="1">
      <alignment/>
    </xf>
    <xf numFmtId="0" fontId="14" fillId="0" borderId="0" xfId="0" applyFont="1" applyAlignment="1">
      <alignment/>
    </xf>
    <xf numFmtId="169" fontId="1" fillId="0" borderId="0" xfId="0" applyNumberFormat="1" applyFont="1" applyAlignment="1">
      <alignment/>
    </xf>
    <xf numFmtId="0" fontId="1" fillId="0" borderId="0" xfId="0" applyFont="1" applyFill="1" applyAlignment="1" applyProtection="1">
      <alignment/>
      <protection locked="0"/>
    </xf>
    <xf numFmtId="0" fontId="0" fillId="0" borderId="0" xfId="0" applyFill="1" applyAlignment="1">
      <alignment/>
    </xf>
    <xf numFmtId="169" fontId="0" fillId="0" borderId="0" xfId="0" applyNumberFormat="1" applyFill="1" applyAlignment="1" applyProtection="1">
      <alignment/>
      <protection locked="0"/>
    </xf>
    <xf numFmtId="2" fontId="0" fillId="0" borderId="0" xfId="0" applyNumberFormat="1" applyFill="1" applyAlignment="1" applyProtection="1">
      <alignment/>
      <protection locked="0"/>
    </xf>
    <xf numFmtId="1" fontId="0" fillId="0" borderId="0" xfId="0" applyNumberFormat="1" applyFill="1" applyAlignment="1">
      <alignment/>
    </xf>
    <xf numFmtId="166" fontId="0" fillId="0" borderId="0" xfId="0" applyNumberFormat="1" applyFill="1" applyAlignment="1">
      <alignment/>
    </xf>
    <xf numFmtId="9" fontId="7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1" fillId="3" borderId="0" xfId="0" applyFont="1" applyFill="1" applyAlignment="1" applyProtection="1" quotePrefix="1">
      <alignment horizontal="center"/>
      <protection locked="0"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3">
    <dxf>
      <font>
        <b val="0"/>
        <i val="0"/>
        <color rgb="FFC0C0C0"/>
      </font>
      <border/>
    </dxf>
    <dxf>
      <font>
        <b/>
        <i val="0"/>
        <color rgb="FFFF0000"/>
      </font>
      <border/>
    </dxf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3"/>
          <c:order val="0"/>
          <c:tx>
            <c:v>Puissance apparente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calculatte!$C$57:$C$89</c:f>
              <c:numCach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cat>
          <c:val>
            <c:numRef>
              <c:f>calculatte!$H$57:$H$89</c:f>
              <c:numCach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v>Puissance active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calculatte!$C$57:$C$89</c:f>
              <c:numCach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cat>
          <c:val>
            <c:numRef>
              <c:f>calculatte!$G$57:$G$89</c:f>
              <c:numCach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val>
          <c:smooth val="0"/>
        </c:ser>
        <c:ser>
          <c:idx val="0"/>
          <c:order val="2"/>
          <c:tx>
            <c:v>Tension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calculatte!$C$57:$C$89</c:f>
              <c:numCach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cat>
          <c:val>
            <c:numRef>
              <c:f>calculatte!$D$57:$D$89</c:f>
              <c:numCach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val>
          <c:smooth val="1"/>
        </c:ser>
        <c:ser>
          <c:idx val="1"/>
          <c:order val="3"/>
          <c:tx>
            <c:v>Courant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calculatte!$C$57:$C$89</c:f>
              <c:numCach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cat>
          <c:val>
            <c:numRef>
              <c:f>calculatte!$E$57:$E$89</c:f>
              <c:numCach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val>
          <c:smooth val="1"/>
        </c:ser>
        <c:axId val="28249013"/>
        <c:axId val="52914526"/>
      </c:lineChart>
      <c:catAx>
        <c:axId val="282490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Degrés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575" b="0" i="0" u="none" baseline="0">
                <a:latin typeface="Arial"/>
                <a:ea typeface="Arial"/>
                <a:cs typeface="Arial"/>
              </a:defRPr>
            </a:pPr>
          </a:p>
        </c:txPr>
        <c:crossAx val="52914526"/>
        <c:crosses val="autoZero"/>
        <c:auto val="1"/>
        <c:lblOffset val="100"/>
        <c:tickLblSkip val="4"/>
        <c:tickMarkSkip val="4"/>
        <c:noMultiLvlLbl val="0"/>
      </c:catAx>
      <c:valAx>
        <c:axId val="529145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75" b="1" i="0" u="none" baseline="0">
                    <a:solidFill>
                      <a:srgbClr val="FF00FF"/>
                    </a:solidFill>
                    <a:latin typeface="Arial"/>
                    <a:ea typeface="Arial"/>
                    <a:cs typeface="Arial"/>
                  </a:rPr>
                  <a:t>Volts
Amps * 10
 Watts * n  (voir ci-dessus)</a:t>
                </a:r>
              </a:p>
            </c:rich>
          </c:tx>
          <c:layout/>
          <c:overlay val="0"/>
          <c:spPr>
            <a:solidFill>
              <a:srgbClr val="FFFFFF"/>
            </a:solidFill>
            <a:ln w="3175">
              <a:solidFill>
                <a:srgbClr val="FFFFFF"/>
              </a:solidFill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249013"/>
        <c:crossesAt val="1"/>
        <c:crossBetween val="between"/>
        <c:dispUnits/>
        <c:minorUnit val="20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Triangle de puissances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active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triangle!$H$45:$H$46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cat>
          <c:val>
            <c:numRef>
              <c:f>triangle!$H$44:$H$45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v>réactive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triangle!$H$45:$H$46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cat>
          <c:val>
            <c:numRef>
              <c:f>triangle!$L$8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2"/>
          <c:tx>
            <c:v>apparente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3"/>
            <c:spPr>
              <a:noFill/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triangle!$H$45:$H$46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cat>
          <c:val>
            <c:numRef>
              <c:f>triangle!$P$28:$P$29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</c:ser>
        <c:dropLines>
          <c:spPr>
            <a:ln w="25400">
              <a:solidFill>
                <a:srgbClr val="0000FF"/>
              </a:solidFill>
            </a:ln>
          </c:spPr>
        </c:dropLines>
        <c:axId val="6468687"/>
        <c:axId val="58218184"/>
      </c:lineChart>
      <c:catAx>
        <c:axId val="64686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58218184"/>
        <c:crosses val="autoZero"/>
        <c:auto val="0"/>
        <c:lblOffset val="100"/>
        <c:noMultiLvlLbl val="0"/>
      </c:catAx>
      <c:valAx>
        <c:axId val="582181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468687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8</xdr:row>
      <xdr:rowOff>9525</xdr:rowOff>
    </xdr:from>
    <xdr:to>
      <xdr:col>16</xdr:col>
      <xdr:colOff>476250</xdr:colOff>
      <xdr:row>49</xdr:row>
      <xdr:rowOff>19050</xdr:rowOff>
    </xdr:to>
    <xdr:graphicFrame>
      <xdr:nvGraphicFramePr>
        <xdr:cNvPr id="1" name="Chart 3"/>
        <xdr:cNvGraphicFramePr/>
      </xdr:nvGraphicFramePr>
      <xdr:xfrm>
        <a:off x="381000" y="1419225"/>
        <a:ext cx="11191875" cy="664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13</xdr:row>
      <xdr:rowOff>152400</xdr:rowOff>
    </xdr:from>
    <xdr:to>
      <xdr:col>13</xdr:col>
      <xdr:colOff>0</xdr:colOff>
      <xdr:row>40</xdr:row>
      <xdr:rowOff>9525</xdr:rowOff>
    </xdr:to>
    <xdr:graphicFrame>
      <xdr:nvGraphicFramePr>
        <xdr:cNvPr id="1" name="Chart 1"/>
        <xdr:cNvGraphicFramePr/>
      </xdr:nvGraphicFramePr>
      <xdr:xfrm>
        <a:off x="723900" y="2295525"/>
        <a:ext cx="8286750" cy="4229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247650</xdr:colOff>
      <xdr:row>9</xdr:row>
      <xdr:rowOff>9525</xdr:rowOff>
    </xdr:from>
    <xdr:to>
      <xdr:col>7</xdr:col>
      <xdr:colOff>247650</xdr:colOff>
      <xdr:row>13</xdr:row>
      <xdr:rowOff>38100</xdr:rowOff>
    </xdr:to>
    <xdr:sp>
      <xdr:nvSpPr>
        <xdr:cNvPr id="2" name="Line 2"/>
        <xdr:cNvSpPr>
          <a:spLocks/>
        </xdr:cNvSpPr>
      </xdr:nvSpPr>
      <xdr:spPr>
        <a:xfrm>
          <a:off x="5143500" y="1504950"/>
          <a:ext cx="0" cy="676275"/>
        </a:xfrm>
        <a:prstGeom prst="line">
          <a:avLst/>
        </a:prstGeom>
        <a:noFill/>
        <a:ln w="38100" cmpd="sng">
          <a:solidFill>
            <a:srgbClr val="FF00FF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409575</xdr:colOff>
      <xdr:row>28</xdr:row>
      <xdr:rowOff>85725</xdr:rowOff>
    </xdr:from>
    <xdr:to>
      <xdr:col>14</xdr:col>
      <xdr:colOff>647700</xdr:colOff>
      <xdr:row>28</xdr:row>
      <xdr:rowOff>95250</xdr:rowOff>
    </xdr:to>
    <xdr:sp>
      <xdr:nvSpPr>
        <xdr:cNvPr id="3" name="AutoShape 3"/>
        <xdr:cNvSpPr>
          <a:spLocks/>
        </xdr:cNvSpPr>
      </xdr:nvSpPr>
      <xdr:spPr>
        <a:xfrm>
          <a:off x="9420225" y="4657725"/>
          <a:ext cx="1000125" cy="9525"/>
        </a:xfrm>
        <a:custGeom>
          <a:pathLst>
            <a:path h="1" w="105">
              <a:moveTo>
                <a:pt x="105" y="0"/>
              </a:moveTo>
              <a:lnTo>
                <a:pt x="0" y="0"/>
              </a:lnTo>
            </a:path>
          </a:pathLst>
        </a:custGeom>
        <a:noFill/>
        <a:ln w="38100" cmpd="sng">
          <a:solidFill>
            <a:srgbClr val="0000FF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257175</xdr:colOff>
      <xdr:row>40</xdr:row>
      <xdr:rowOff>104775</xdr:rowOff>
    </xdr:from>
    <xdr:to>
      <xdr:col>7</xdr:col>
      <xdr:colOff>257175</xdr:colOff>
      <xdr:row>44</xdr:row>
      <xdr:rowOff>133350</xdr:rowOff>
    </xdr:to>
    <xdr:sp>
      <xdr:nvSpPr>
        <xdr:cNvPr id="4" name="Line 4"/>
        <xdr:cNvSpPr>
          <a:spLocks/>
        </xdr:cNvSpPr>
      </xdr:nvSpPr>
      <xdr:spPr>
        <a:xfrm>
          <a:off x="5153025" y="6619875"/>
          <a:ext cx="0" cy="676275"/>
        </a:xfrm>
        <a:prstGeom prst="line">
          <a:avLst/>
        </a:prstGeom>
        <a:noFill/>
        <a:ln w="38100" cmpd="sng">
          <a:solidFill>
            <a:srgbClr val="FF0000"/>
          </a:solidFill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9"/>
  <sheetViews>
    <sheetView workbookViewId="0" topLeftCell="A1">
      <selection activeCell="E6" sqref="E6"/>
    </sheetView>
  </sheetViews>
  <sheetFormatPr defaultColWidth="11.421875" defaultRowHeight="12.75"/>
  <cols>
    <col min="1" max="1" width="5.7109375" style="0" customWidth="1"/>
    <col min="2" max="17" width="10.7109375" style="0" customWidth="1"/>
    <col min="18" max="19" width="10.7109375" style="8" customWidth="1"/>
    <col min="20" max="21" width="10.7109375" style="4" customWidth="1"/>
    <col min="22" max="28" width="10.7109375" style="0" customWidth="1"/>
  </cols>
  <sheetData>
    <row r="1" spans="1:5" ht="15.75">
      <c r="A1" s="1" t="s">
        <v>43</v>
      </c>
      <c r="B1" s="1"/>
      <c r="C1" s="1"/>
      <c r="D1" s="1"/>
      <c r="E1" s="1"/>
    </row>
    <row r="2" spans="1:5" ht="15.75">
      <c r="A2" s="36" t="s">
        <v>44</v>
      </c>
      <c r="B2" s="1"/>
      <c r="C2" s="1"/>
      <c r="D2" s="1"/>
      <c r="E2" s="1"/>
    </row>
    <row r="3" ht="12.75"/>
    <row r="4" spans="12:18" ht="12.75">
      <c r="L4" s="53" t="s">
        <v>0</v>
      </c>
      <c r="M4" s="54"/>
      <c r="N4" s="54"/>
      <c r="O4" s="15"/>
      <c r="P4" s="15"/>
      <c r="R4"/>
    </row>
    <row r="5" spans="2:16" ht="12.75">
      <c r="B5" s="31" t="s">
        <v>38</v>
      </c>
      <c r="D5" s="24" t="s">
        <v>16</v>
      </c>
      <c r="E5">
        <v>230</v>
      </c>
      <c r="F5" s="5" t="s">
        <v>34</v>
      </c>
      <c r="L5" s="2" t="s">
        <v>3</v>
      </c>
      <c r="M5" s="2" t="s">
        <v>4</v>
      </c>
      <c r="N5" s="2" t="s">
        <v>2</v>
      </c>
      <c r="P5" s="2" t="s">
        <v>23</v>
      </c>
    </row>
    <row r="6" spans="2:14" ht="12.75">
      <c r="B6" s="32" t="s">
        <v>39</v>
      </c>
      <c r="D6" s="24" t="s">
        <v>37</v>
      </c>
      <c r="E6" s="20">
        <v>0.65</v>
      </c>
      <c r="F6" s="5" t="s">
        <v>10</v>
      </c>
      <c r="I6" s="24" t="s">
        <v>41</v>
      </c>
      <c r="J6" s="26">
        <v>0.58</v>
      </c>
      <c r="L6" s="2" t="s">
        <v>5</v>
      </c>
      <c r="M6" s="2" t="s">
        <v>6</v>
      </c>
      <c r="N6" s="2" t="s">
        <v>7</v>
      </c>
    </row>
    <row r="7" spans="2:16" ht="15.75">
      <c r="B7" s="33" t="s">
        <v>40</v>
      </c>
      <c r="D7" s="29" t="s">
        <v>36</v>
      </c>
      <c r="E7" s="30">
        <f>E5/E6</f>
        <v>353.8461538461538</v>
      </c>
      <c r="F7" s="13" t="s">
        <v>35</v>
      </c>
      <c r="I7" s="24" t="s">
        <v>33</v>
      </c>
      <c r="J7" s="4">
        <f>ACOS(J6)*180/PI()</f>
        <v>54.54945736082459</v>
      </c>
      <c r="K7" s="34" t="s">
        <v>13</v>
      </c>
      <c r="L7" s="4">
        <f>POWER(E5,2)/E7*J6</f>
        <v>86.71000000000001</v>
      </c>
      <c r="M7" s="4">
        <f>E5*E6*SIN(ACOS(J6))</f>
        <v>121.78516288940948</v>
      </c>
      <c r="N7" s="4">
        <f>SQRT(SUMSQ(L7,M7))</f>
        <v>149.5</v>
      </c>
      <c r="P7" s="22">
        <f>IF(L7,N7/L7-1,0)</f>
        <v>0.7241379310344827</v>
      </c>
    </row>
    <row r="8" ht="12.75">
      <c r="B8" s="35">
        <f>IF(N7&gt;400,0.1,IF(N7&lt;50,10,1))</f>
        <v>1</v>
      </c>
    </row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4" spans="2:8" ht="12.75">
      <c r="B54" s="8"/>
      <c r="C54" s="4"/>
      <c r="D54" s="4"/>
      <c r="E54" s="4"/>
      <c r="G54" s="53" t="s">
        <v>0</v>
      </c>
      <c r="H54" s="54"/>
    </row>
    <row r="55" spans="2:8" ht="12.75">
      <c r="B55" s="25" t="s">
        <v>13</v>
      </c>
      <c r="C55" s="28" t="s">
        <v>32</v>
      </c>
      <c r="D55" s="28" t="s">
        <v>30</v>
      </c>
      <c r="E55" s="28" t="s">
        <v>31</v>
      </c>
      <c r="G55" s="2" t="s">
        <v>3</v>
      </c>
      <c r="H55" s="2" t="s">
        <v>2</v>
      </c>
    </row>
    <row r="56" spans="2:5" ht="12.75">
      <c r="B56" s="8"/>
      <c r="C56" s="4"/>
      <c r="D56" s="4"/>
      <c r="E56" s="4"/>
    </row>
    <row r="57" spans="2:8" ht="12.75">
      <c r="B57" s="8">
        <v>0</v>
      </c>
      <c r="C57" s="4">
        <f aca="true" t="shared" si="0" ref="C57:C72">B57/2</f>
        <v>0</v>
      </c>
      <c r="D57" s="4">
        <f aca="true" t="shared" si="1" ref="D57:D89">SIN(B57/180*PI())*E$5*SQRT(2)</f>
        <v>0</v>
      </c>
      <c r="E57" s="4">
        <f aca="true" t="shared" si="2" ref="E57:E89">SIN((B57-J$7)/180*PI())*E$5/E$7*10</f>
        <v>-5.2950070821482385</v>
      </c>
      <c r="G57" s="4">
        <f>L$7*B8</f>
        <v>86.71000000000001</v>
      </c>
      <c r="H57" s="4">
        <f>N$7*B8</f>
        <v>149.5</v>
      </c>
    </row>
    <row r="58" spans="2:8" ht="12.75">
      <c r="B58" s="8">
        <v>22.5</v>
      </c>
      <c r="C58" s="4">
        <f t="shared" si="0"/>
        <v>11.25</v>
      </c>
      <c r="D58" s="4">
        <f t="shared" si="1"/>
        <v>124.47510303362532</v>
      </c>
      <c r="E58" s="4">
        <f t="shared" si="2"/>
        <v>-3.4492321276826794</v>
      </c>
      <c r="G58" s="4">
        <f aca="true" t="shared" si="3" ref="G58:H89">G$57</f>
        <v>86.71000000000001</v>
      </c>
      <c r="H58" s="4">
        <f t="shared" si="3"/>
        <v>149.5</v>
      </c>
    </row>
    <row r="59" spans="2:8" ht="12.75">
      <c r="B59" s="8">
        <v>45</v>
      </c>
      <c r="C59" s="4">
        <f t="shared" si="0"/>
        <v>22.5</v>
      </c>
      <c r="D59" s="4">
        <f t="shared" si="1"/>
        <v>229.99999999999997</v>
      </c>
      <c r="E59" s="4">
        <f t="shared" si="2"/>
        <v>-1.07834284914453</v>
      </c>
      <c r="G59" s="4">
        <f t="shared" si="3"/>
        <v>86.71000000000001</v>
      </c>
      <c r="H59" s="4">
        <f t="shared" si="3"/>
        <v>149.5</v>
      </c>
    </row>
    <row r="60" spans="2:8" ht="12.75">
      <c r="B60" s="8">
        <v>67.5</v>
      </c>
      <c r="C60" s="4">
        <f t="shared" si="0"/>
        <v>33.75</v>
      </c>
      <c r="D60" s="4">
        <f t="shared" si="1"/>
        <v>300.50948192156665</v>
      </c>
      <c r="E60" s="4">
        <f t="shared" si="2"/>
        <v>1.4567143529736044</v>
      </c>
      <c r="G60" s="4">
        <f t="shared" si="3"/>
        <v>86.71000000000001</v>
      </c>
      <c r="H60" s="4">
        <f t="shared" si="3"/>
        <v>149.5</v>
      </c>
    </row>
    <row r="61" spans="2:8" ht="12.75">
      <c r="B61" s="8">
        <v>90</v>
      </c>
      <c r="C61" s="4">
        <f t="shared" si="0"/>
        <v>45</v>
      </c>
      <c r="D61" s="4">
        <f t="shared" si="1"/>
        <v>325.2691193458119</v>
      </c>
      <c r="E61" s="4">
        <f t="shared" si="2"/>
        <v>3.7699999999999996</v>
      </c>
      <c r="G61" s="4">
        <f t="shared" si="3"/>
        <v>86.71000000000001</v>
      </c>
      <c r="H61" s="4">
        <f t="shared" si="3"/>
        <v>149.5</v>
      </c>
    </row>
    <row r="62" spans="2:8" ht="12.75">
      <c r="B62" s="8">
        <v>112.5</v>
      </c>
      <c r="C62" s="4">
        <f t="shared" si="0"/>
        <v>56.25</v>
      </c>
      <c r="D62" s="4">
        <f t="shared" si="1"/>
        <v>300.50948192156665</v>
      </c>
      <c r="E62" s="4">
        <f t="shared" si="2"/>
        <v>5.509337322161498</v>
      </c>
      <c r="G62" s="4">
        <f t="shared" si="3"/>
        <v>86.71000000000001</v>
      </c>
      <c r="H62" s="4">
        <f t="shared" si="3"/>
        <v>149.5</v>
      </c>
    </row>
    <row r="63" spans="2:8" ht="12.75">
      <c r="B63" s="8">
        <v>135</v>
      </c>
      <c r="C63" s="4">
        <f t="shared" si="0"/>
        <v>67.5</v>
      </c>
      <c r="D63" s="4">
        <f t="shared" si="1"/>
        <v>230.00000000000003</v>
      </c>
      <c r="E63" s="4">
        <f t="shared" si="2"/>
        <v>6.4099279792910995</v>
      </c>
      <c r="G63" s="4">
        <f t="shared" si="3"/>
        <v>86.71000000000001</v>
      </c>
      <c r="H63" s="4">
        <f t="shared" si="3"/>
        <v>149.5</v>
      </c>
    </row>
    <row r="64" spans="2:8" ht="12.75">
      <c r="B64" s="8">
        <v>157.5</v>
      </c>
      <c r="C64" s="4">
        <f t="shared" si="0"/>
        <v>78.75</v>
      </c>
      <c r="D64" s="4">
        <f t="shared" si="1"/>
        <v>124.47510303362536</v>
      </c>
      <c r="E64" s="4">
        <f t="shared" si="2"/>
        <v>6.334665207715457</v>
      </c>
      <c r="G64" s="4">
        <f t="shared" si="3"/>
        <v>86.71000000000001</v>
      </c>
      <c r="H64" s="4">
        <f t="shared" si="3"/>
        <v>149.5</v>
      </c>
    </row>
    <row r="65" spans="2:8" ht="12.75">
      <c r="B65" s="8">
        <v>180</v>
      </c>
      <c r="C65" s="4">
        <f t="shared" si="0"/>
        <v>90</v>
      </c>
      <c r="D65" s="4">
        <f t="shared" si="1"/>
        <v>3.9850295899600895E-14</v>
      </c>
      <c r="E65" s="4">
        <f t="shared" si="2"/>
        <v>5.295007082148238</v>
      </c>
      <c r="G65" s="4">
        <f t="shared" si="3"/>
        <v>86.71000000000001</v>
      </c>
      <c r="H65" s="4">
        <f t="shared" si="3"/>
        <v>149.5</v>
      </c>
    </row>
    <row r="66" spans="2:8" ht="12.75">
      <c r="B66" s="8">
        <v>202.5</v>
      </c>
      <c r="C66" s="4">
        <f t="shared" si="0"/>
        <v>101.25</v>
      </c>
      <c r="D66" s="4">
        <f t="shared" si="1"/>
        <v>-124.47510303362527</v>
      </c>
      <c r="E66" s="4">
        <f t="shared" si="2"/>
        <v>3.4492321276826776</v>
      </c>
      <c r="G66" s="4">
        <f t="shared" si="3"/>
        <v>86.71000000000001</v>
      </c>
      <c r="H66" s="4">
        <f t="shared" si="3"/>
        <v>149.5</v>
      </c>
    </row>
    <row r="67" spans="2:8" ht="12.75">
      <c r="B67" s="8">
        <v>225</v>
      </c>
      <c r="C67" s="4">
        <f t="shared" si="0"/>
        <v>112.5</v>
      </c>
      <c r="D67" s="4">
        <f t="shared" si="1"/>
        <v>-229.99999999999997</v>
      </c>
      <c r="E67" s="4">
        <f t="shared" si="2"/>
        <v>1.0783428491445288</v>
      </c>
      <c r="G67" s="4">
        <f t="shared" si="3"/>
        <v>86.71000000000001</v>
      </c>
      <c r="H67" s="4">
        <f t="shared" si="3"/>
        <v>149.5</v>
      </c>
    </row>
    <row r="68" spans="2:8" ht="12.75">
      <c r="B68" s="8">
        <v>247.5</v>
      </c>
      <c r="C68" s="4">
        <f t="shared" si="0"/>
        <v>123.75</v>
      </c>
      <c r="D68" s="4">
        <f t="shared" si="1"/>
        <v>-300.50948192156653</v>
      </c>
      <c r="E68" s="4">
        <f t="shared" si="2"/>
        <v>-1.4567143529736053</v>
      </c>
      <c r="G68" s="4">
        <f t="shared" si="3"/>
        <v>86.71000000000001</v>
      </c>
      <c r="H68" s="4">
        <f t="shared" si="3"/>
        <v>149.5</v>
      </c>
    </row>
    <row r="69" spans="2:8" ht="12.75">
      <c r="B69" s="8">
        <v>270</v>
      </c>
      <c r="C69" s="4">
        <f t="shared" si="0"/>
        <v>135</v>
      </c>
      <c r="D69" s="4">
        <f t="shared" si="1"/>
        <v>-325.2691193458119</v>
      </c>
      <c r="E69" s="4">
        <f t="shared" si="2"/>
        <v>-3.7700000000000005</v>
      </c>
      <c r="G69" s="4">
        <f t="shared" si="3"/>
        <v>86.71000000000001</v>
      </c>
      <c r="H69" s="4">
        <f t="shared" si="3"/>
        <v>149.5</v>
      </c>
    </row>
    <row r="70" spans="2:8" ht="12.75">
      <c r="B70" s="8">
        <v>292.5</v>
      </c>
      <c r="C70" s="4">
        <f t="shared" si="0"/>
        <v>146.25</v>
      </c>
      <c r="D70" s="4">
        <f t="shared" si="1"/>
        <v>-300.5094819215666</v>
      </c>
      <c r="E70" s="4">
        <f t="shared" si="2"/>
        <v>-5.509337322161498</v>
      </c>
      <c r="G70" s="4">
        <f t="shared" si="3"/>
        <v>86.71000000000001</v>
      </c>
      <c r="H70" s="4">
        <f t="shared" si="3"/>
        <v>149.5</v>
      </c>
    </row>
    <row r="71" spans="2:8" ht="12.75">
      <c r="B71" s="8">
        <v>315</v>
      </c>
      <c r="C71" s="4">
        <f t="shared" si="0"/>
        <v>157.5</v>
      </c>
      <c r="D71" s="4">
        <f t="shared" si="1"/>
        <v>-230.00000000000006</v>
      </c>
      <c r="E71" s="4">
        <f t="shared" si="2"/>
        <v>-6.409927979291098</v>
      </c>
      <c r="G71" s="4">
        <f t="shared" si="3"/>
        <v>86.71000000000001</v>
      </c>
      <c r="H71" s="4">
        <f t="shared" si="3"/>
        <v>149.5</v>
      </c>
    </row>
    <row r="72" spans="2:8" ht="12.75">
      <c r="B72" s="8">
        <v>337.5</v>
      </c>
      <c r="C72" s="4">
        <f t="shared" si="0"/>
        <v>168.75</v>
      </c>
      <c r="D72" s="4">
        <f t="shared" si="1"/>
        <v>-124.47510303362552</v>
      </c>
      <c r="E72" s="4">
        <f t="shared" si="2"/>
        <v>-6.334665207715457</v>
      </c>
      <c r="G72" s="4">
        <f t="shared" si="3"/>
        <v>86.71000000000001</v>
      </c>
      <c r="H72" s="4">
        <f t="shared" si="3"/>
        <v>149.5</v>
      </c>
    </row>
    <row r="73" spans="2:8" ht="12.75">
      <c r="B73" s="8">
        <v>360</v>
      </c>
      <c r="C73" s="4">
        <f>B73/2</f>
        <v>180</v>
      </c>
      <c r="D73" s="4">
        <f t="shared" si="1"/>
        <v>-7.970059179920179E-14</v>
      </c>
      <c r="E73" s="4">
        <f t="shared" si="2"/>
        <v>-5.295007082148241</v>
      </c>
      <c r="G73" s="4">
        <f t="shared" si="3"/>
        <v>86.71000000000001</v>
      </c>
      <c r="H73" s="4">
        <f t="shared" si="3"/>
        <v>149.5</v>
      </c>
    </row>
    <row r="74" spans="2:8" ht="12.75">
      <c r="B74" s="8">
        <v>382.5</v>
      </c>
      <c r="C74" s="4">
        <f>B74/2-180</f>
        <v>11.25</v>
      </c>
      <c r="D74" s="4">
        <f t="shared" si="1"/>
        <v>124.47510303362537</v>
      </c>
      <c r="E74" s="4">
        <f t="shared" si="2"/>
        <v>-3.449232127682678</v>
      </c>
      <c r="G74" s="4">
        <f t="shared" si="3"/>
        <v>86.71000000000001</v>
      </c>
      <c r="H74" s="4">
        <f t="shared" si="3"/>
        <v>149.5</v>
      </c>
    </row>
    <row r="75" spans="2:8" ht="12.75">
      <c r="B75" s="8">
        <v>405</v>
      </c>
      <c r="C75" s="4">
        <f aca="true" t="shared" si="4" ref="C75:C89">B75/2-180</f>
        <v>22.5</v>
      </c>
      <c r="D75" s="4">
        <f t="shared" si="1"/>
        <v>229.99999999999994</v>
      </c>
      <c r="E75" s="4">
        <f t="shared" si="2"/>
        <v>-1.0783428491445324</v>
      </c>
      <c r="G75" s="4">
        <f t="shared" si="3"/>
        <v>86.71000000000001</v>
      </c>
      <c r="H75" s="4">
        <f t="shared" si="3"/>
        <v>149.5</v>
      </c>
    </row>
    <row r="76" spans="2:8" ht="12.75">
      <c r="B76" s="8">
        <v>427.5</v>
      </c>
      <c r="C76" s="4">
        <f t="shared" si="4"/>
        <v>33.75</v>
      </c>
      <c r="D76" s="4">
        <f t="shared" si="1"/>
        <v>300.50948192156653</v>
      </c>
      <c r="E76" s="4">
        <f t="shared" si="2"/>
        <v>1.456714352973599</v>
      </c>
      <c r="G76" s="4">
        <f t="shared" si="3"/>
        <v>86.71000000000001</v>
      </c>
      <c r="H76" s="4">
        <f t="shared" si="3"/>
        <v>149.5</v>
      </c>
    </row>
    <row r="77" spans="2:8" ht="12.75">
      <c r="B77" s="8">
        <v>450</v>
      </c>
      <c r="C77" s="4">
        <f t="shared" si="4"/>
        <v>45</v>
      </c>
      <c r="D77" s="4">
        <f t="shared" si="1"/>
        <v>325.2691193458119</v>
      </c>
      <c r="E77" s="4">
        <f t="shared" si="2"/>
        <v>3.7699999999999982</v>
      </c>
      <c r="G77" s="4">
        <f t="shared" si="3"/>
        <v>86.71000000000001</v>
      </c>
      <c r="H77" s="4">
        <f t="shared" si="3"/>
        <v>149.5</v>
      </c>
    </row>
    <row r="78" spans="2:8" ht="12.75">
      <c r="B78" s="8">
        <v>472.5</v>
      </c>
      <c r="C78" s="4">
        <f t="shared" si="4"/>
        <v>56.25</v>
      </c>
      <c r="D78" s="4">
        <f t="shared" si="1"/>
        <v>300.50948192156665</v>
      </c>
      <c r="E78" s="4">
        <f t="shared" si="2"/>
        <v>5.509337322161496</v>
      </c>
      <c r="G78" s="4">
        <f t="shared" si="3"/>
        <v>86.71000000000001</v>
      </c>
      <c r="H78" s="4">
        <f t="shared" si="3"/>
        <v>149.5</v>
      </c>
    </row>
    <row r="79" spans="2:8" ht="12.75">
      <c r="B79" s="8">
        <v>495</v>
      </c>
      <c r="C79" s="4">
        <f t="shared" si="4"/>
        <v>67.5</v>
      </c>
      <c r="D79" s="4">
        <f t="shared" si="1"/>
        <v>230.00000000000026</v>
      </c>
      <c r="E79" s="4">
        <f t="shared" si="2"/>
        <v>6.409927979291098</v>
      </c>
      <c r="G79" s="4">
        <f t="shared" si="3"/>
        <v>86.71000000000001</v>
      </c>
      <c r="H79" s="4">
        <f t="shared" si="3"/>
        <v>149.5</v>
      </c>
    </row>
    <row r="80" spans="2:8" ht="12.75">
      <c r="B80" s="8">
        <v>517.5</v>
      </c>
      <c r="C80" s="4">
        <f t="shared" si="4"/>
        <v>78.75</v>
      </c>
      <c r="D80" s="4">
        <f t="shared" si="1"/>
        <v>124.47510303362556</v>
      </c>
      <c r="E80" s="4">
        <f t="shared" si="2"/>
        <v>6.3346652077154575</v>
      </c>
      <c r="G80" s="4">
        <f t="shared" si="3"/>
        <v>86.71000000000001</v>
      </c>
      <c r="H80" s="4">
        <f t="shared" si="3"/>
        <v>149.5</v>
      </c>
    </row>
    <row r="81" spans="2:8" ht="12.75">
      <c r="B81" s="8">
        <v>540</v>
      </c>
      <c r="C81" s="4">
        <f t="shared" si="4"/>
        <v>90</v>
      </c>
      <c r="D81" s="4">
        <f t="shared" si="1"/>
        <v>1.1955088769880268E-13</v>
      </c>
      <c r="E81" s="4">
        <f t="shared" si="2"/>
        <v>5.295007082148241</v>
      </c>
      <c r="G81" s="4">
        <f t="shared" si="3"/>
        <v>86.71000000000001</v>
      </c>
      <c r="H81" s="4">
        <f t="shared" si="3"/>
        <v>149.5</v>
      </c>
    </row>
    <row r="82" spans="2:8" ht="12.75">
      <c r="B82" s="8">
        <v>562.5</v>
      </c>
      <c r="C82" s="4">
        <f t="shared" si="4"/>
        <v>101.25</v>
      </c>
      <c r="D82" s="4">
        <f t="shared" si="1"/>
        <v>-124.47510303362535</v>
      </c>
      <c r="E82" s="4">
        <f t="shared" si="2"/>
        <v>3.4492321276826794</v>
      </c>
      <c r="G82" s="4">
        <f t="shared" si="3"/>
        <v>86.71000000000001</v>
      </c>
      <c r="H82" s="4">
        <f t="shared" si="3"/>
        <v>149.5</v>
      </c>
    </row>
    <row r="83" spans="2:8" ht="12.75">
      <c r="B83" s="8">
        <v>585</v>
      </c>
      <c r="C83" s="4">
        <f t="shared" si="4"/>
        <v>112.5</v>
      </c>
      <c r="D83" s="4">
        <f t="shared" si="1"/>
        <v>-230.00000000000014</v>
      </c>
      <c r="E83" s="4">
        <f t="shared" si="2"/>
        <v>1.0783428491445388</v>
      </c>
      <c r="G83" s="4">
        <f t="shared" si="3"/>
        <v>86.71000000000001</v>
      </c>
      <c r="H83" s="4">
        <f t="shared" si="3"/>
        <v>149.5</v>
      </c>
    </row>
    <row r="84" spans="2:8" ht="12.75">
      <c r="B84" s="8">
        <v>607.5</v>
      </c>
      <c r="C84" s="4">
        <f t="shared" si="4"/>
        <v>123.75</v>
      </c>
      <c r="D84" s="4">
        <f t="shared" si="1"/>
        <v>-300.5094819215665</v>
      </c>
      <c r="E84" s="4">
        <f t="shared" si="2"/>
        <v>-1.4567143529735982</v>
      </c>
      <c r="G84" s="4">
        <f t="shared" si="3"/>
        <v>86.71000000000001</v>
      </c>
      <c r="H84" s="4">
        <f t="shared" si="3"/>
        <v>149.5</v>
      </c>
    </row>
    <row r="85" spans="2:8" ht="12.75">
      <c r="B85" s="8">
        <v>630</v>
      </c>
      <c r="C85" s="4">
        <f t="shared" si="4"/>
        <v>135</v>
      </c>
      <c r="D85" s="4">
        <f t="shared" si="1"/>
        <v>-325.2691193458119</v>
      </c>
      <c r="E85" s="4">
        <f t="shared" si="2"/>
        <v>-3.7699999999999974</v>
      </c>
      <c r="G85" s="4">
        <f t="shared" si="3"/>
        <v>86.71000000000001</v>
      </c>
      <c r="H85" s="4">
        <f t="shared" si="3"/>
        <v>149.5</v>
      </c>
    </row>
    <row r="86" spans="2:8" ht="12.75">
      <c r="B86" s="8">
        <v>652.5</v>
      </c>
      <c r="C86" s="4">
        <f t="shared" si="4"/>
        <v>146.25</v>
      </c>
      <c r="D86" s="4">
        <f t="shared" si="1"/>
        <v>-300.50948192156665</v>
      </c>
      <c r="E86" s="4">
        <f t="shared" si="2"/>
        <v>-5.509337322161497</v>
      </c>
      <c r="G86" s="4">
        <f t="shared" si="3"/>
        <v>86.71000000000001</v>
      </c>
      <c r="H86" s="4">
        <f t="shared" si="3"/>
        <v>149.5</v>
      </c>
    </row>
    <row r="87" spans="2:8" ht="12.75">
      <c r="B87" s="8">
        <v>675</v>
      </c>
      <c r="C87" s="4">
        <f t="shared" si="4"/>
        <v>157.5</v>
      </c>
      <c r="D87" s="4">
        <f t="shared" si="1"/>
        <v>-230.0000000000003</v>
      </c>
      <c r="E87" s="4">
        <f t="shared" si="2"/>
        <v>-6.409927979291097</v>
      </c>
      <c r="G87" s="4">
        <f t="shared" si="3"/>
        <v>86.71000000000001</v>
      </c>
      <c r="H87" s="4">
        <f t="shared" si="3"/>
        <v>149.5</v>
      </c>
    </row>
    <row r="88" spans="2:8" ht="12.75">
      <c r="B88" s="8">
        <v>697.5</v>
      </c>
      <c r="C88" s="4">
        <f t="shared" si="4"/>
        <v>168.75</v>
      </c>
      <c r="D88" s="4">
        <f t="shared" si="1"/>
        <v>-124.47510303362559</v>
      </c>
      <c r="E88" s="4">
        <f t="shared" si="2"/>
        <v>-6.3346652077154575</v>
      </c>
      <c r="G88" s="4">
        <f t="shared" si="3"/>
        <v>86.71000000000001</v>
      </c>
      <c r="H88" s="4">
        <f t="shared" si="3"/>
        <v>149.5</v>
      </c>
    </row>
    <row r="89" spans="2:8" ht="12.75">
      <c r="B89" s="8">
        <v>720</v>
      </c>
      <c r="C89" s="4">
        <f t="shared" si="4"/>
        <v>180</v>
      </c>
      <c r="D89" s="4">
        <f t="shared" si="1"/>
        <v>-1.5940118359840358E-13</v>
      </c>
      <c r="E89" s="4">
        <f t="shared" si="2"/>
        <v>-5.295007082148241</v>
      </c>
      <c r="G89" s="4">
        <f t="shared" si="3"/>
        <v>86.71000000000001</v>
      </c>
      <c r="H89" s="4">
        <f t="shared" si="3"/>
        <v>149.5</v>
      </c>
    </row>
  </sheetData>
  <sheetProtection sheet="1" objects="1" scenarios="1" selectLockedCells="1"/>
  <mergeCells count="2">
    <mergeCell ref="G54:H54"/>
    <mergeCell ref="L4:N4"/>
  </mergeCells>
  <conditionalFormatting sqref="P7">
    <cfRule type="cellIs" priority="1" dxfId="0" operator="lessThan" stopIfTrue="1">
      <formula>0.05</formula>
    </cfRule>
    <cfRule type="cellIs" priority="2" dxfId="1" operator="greaterThan" stopIfTrue="1">
      <formula>0.1</formula>
    </cfRule>
    <cfRule type="cellIs" priority="3" dxfId="2" operator="greaterThan" stopIfTrue="1">
      <formula>0.05</formula>
    </cfRule>
  </conditionalFormatting>
  <printOptions/>
  <pageMargins left="0.75" right="0.75" top="1" bottom="1" header="0.4921259845" footer="0.492125984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6"/>
  <sheetViews>
    <sheetView workbookViewId="0" topLeftCell="A1">
      <selection activeCell="A1" sqref="A1"/>
    </sheetView>
  </sheetViews>
  <sheetFormatPr defaultColWidth="11.421875" defaultRowHeight="12.75"/>
  <cols>
    <col min="1" max="2" width="10.7109375" style="0" customWidth="1"/>
    <col min="3" max="4" width="6.7109375" style="0" customWidth="1"/>
    <col min="5" max="5" width="15.7109375" style="0" customWidth="1"/>
    <col min="8" max="8" width="6.7109375" style="0" customWidth="1"/>
    <col min="10" max="12" width="10.7109375" style="0" customWidth="1"/>
    <col min="16" max="16" width="8.7109375" style="0" customWidth="1"/>
  </cols>
  <sheetData>
    <row r="1" ht="15.75">
      <c r="A1" s="1" t="s">
        <v>48</v>
      </c>
    </row>
    <row r="4" spans="2:12" ht="12.75">
      <c r="B4" s="24" t="str">
        <f>calculatte!D5</f>
        <v>Tension</v>
      </c>
      <c r="C4" s="37">
        <f>calculatte!E5</f>
        <v>230</v>
      </c>
      <c r="D4" s="5" t="str">
        <f>calculatte!F5</f>
        <v>V RMS</v>
      </c>
      <c r="E4" s="5"/>
      <c r="F4" s="5"/>
      <c r="G4" s="24" t="str">
        <f>calculatte!I6</f>
        <v>Facteur de puissance [ cos(phi) ]</v>
      </c>
      <c r="H4" s="38">
        <f>calculatte!J6</f>
        <v>0.58</v>
      </c>
      <c r="I4" s="5"/>
      <c r="J4" s="55"/>
      <c r="K4" s="56"/>
      <c r="L4" s="56"/>
    </row>
    <row r="5" spans="2:12" ht="12.75">
      <c r="B5" s="24" t="str">
        <f>calculatte!D6</f>
        <v>Courant I</v>
      </c>
      <c r="C5" s="43">
        <f>calculatte!E6</f>
        <v>0.65</v>
      </c>
      <c r="D5" s="5" t="str">
        <f>calculatte!F6</f>
        <v>A</v>
      </c>
      <c r="G5" s="24" t="str">
        <f>calculatte!I7</f>
        <v>Déphasage =</v>
      </c>
      <c r="H5" s="37">
        <f>calculatte!J7</f>
        <v>54.54945736082459</v>
      </c>
      <c r="I5" t="s">
        <v>13</v>
      </c>
      <c r="J5" s="2"/>
      <c r="K5" s="2"/>
      <c r="L5" s="2"/>
    </row>
    <row r="6" ht="12.75">
      <c r="L6" s="2"/>
    </row>
    <row r="8" spans="7:9" ht="12.75">
      <c r="G8" s="24" t="s">
        <v>47</v>
      </c>
      <c r="H8" s="39">
        <f>calculatte!N7</f>
        <v>149.5</v>
      </c>
      <c r="I8" s="5" t="s">
        <v>7</v>
      </c>
    </row>
    <row r="9" ht="12.75">
      <c r="K9" s="41"/>
    </row>
    <row r="10" spans="10:12" ht="12.75">
      <c r="J10" s="4"/>
      <c r="K10" s="4"/>
      <c r="L10" s="4"/>
    </row>
    <row r="28" spans="15:16" ht="12.75">
      <c r="O28" s="24" t="s">
        <v>46</v>
      </c>
      <c r="P28" s="42">
        <v>0</v>
      </c>
    </row>
    <row r="29" spans="16:17" ht="12.75">
      <c r="P29" s="41">
        <f>calculatte!M7</f>
        <v>121.78516288940948</v>
      </c>
      <c r="Q29" s="13" t="str">
        <f>calculatte!M6</f>
        <v>VAR</v>
      </c>
    </row>
    <row r="44" ht="12.75">
      <c r="H44" s="42">
        <v>0</v>
      </c>
    </row>
    <row r="45" ht="12.75">
      <c r="H45" s="42">
        <v>0</v>
      </c>
    </row>
    <row r="46" spans="7:9" ht="12.75">
      <c r="G46" s="24" t="s">
        <v>45</v>
      </c>
      <c r="H46" s="40">
        <f>calculatte!L7</f>
        <v>86.71000000000001</v>
      </c>
      <c r="I46" s="13" t="str">
        <f>calculatte!L6</f>
        <v>W</v>
      </c>
    </row>
  </sheetData>
  <sheetProtection sheet="1" objects="1" scenarios="1" selectLockedCells="1"/>
  <mergeCells count="1">
    <mergeCell ref="J4:L4"/>
  </mergeCells>
  <printOptions/>
  <pageMargins left="0.75" right="0.75" top="1" bottom="1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79"/>
  <sheetViews>
    <sheetView showZeros="0" tabSelected="1" workbookViewId="0" topLeftCell="A1">
      <selection activeCell="E23" sqref="E23"/>
    </sheetView>
  </sheetViews>
  <sheetFormatPr defaultColWidth="11.421875" defaultRowHeight="12.75"/>
  <cols>
    <col min="1" max="1" width="32.7109375" style="0" customWidth="1"/>
    <col min="2" max="2" width="5.7109375" style="0" customWidth="1"/>
    <col min="3" max="3" width="8.7109375" style="0" customWidth="1"/>
    <col min="4" max="4" width="5.7109375" style="0" customWidth="1"/>
    <col min="5" max="5" width="8.7109375" style="0" customWidth="1"/>
    <col min="6" max="6" width="6.7109375" style="0" customWidth="1"/>
    <col min="7" max="7" width="5.7109375" style="0" customWidth="1"/>
    <col min="8" max="10" width="10.7109375" style="0" customWidth="1"/>
    <col min="11" max="11" width="5.7109375" style="0" customWidth="1"/>
    <col min="12" max="14" width="8.7109375" style="0" customWidth="1"/>
  </cols>
  <sheetData>
    <row r="1" spans="1:2" ht="15.75">
      <c r="A1" s="1" t="s">
        <v>42</v>
      </c>
      <c r="B1" s="2"/>
    </row>
    <row r="2" spans="1:2" ht="12.75">
      <c r="A2" s="27" t="s">
        <v>54</v>
      </c>
      <c r="B2" s="2"/>
    </row>
    <row r="3" spans="1:2" ht="12.75">
      <c r="A3" s="27"/>
      <c r="B3" s="2"/>
    </row>
    <row r="4" spans="3:13" ht="15.75">
      <c r="C4" s="1"/>
      <c r="E4" s="9" t="s">
        <v>16</v>
      </c>
      <c r="F4" s="12">
        <v>230</v>
      </c>
      <c r="G4" s="11" t="s">
        <v>17</v>
      </c>
      <c r="K4" s="10" t="s">
        <v>15</v>
      </c>
      <c r="L4" s="6">
        <v>0.0901</v>
      </c>
      <c r="M4" s="5" t="s">
        <v>12</v>
      </c>
    </row>
    <row r="5" spans="1:14" s="3" customFormat="1" ht="12.75">
      <c r="A5"/>
      <c r="B5"/>
      <c r="C5"/>
      <c r="D5"/>
      <c r="E5"/>
      <c r="F5"/>
      <c r="G5"/>
      <c r="H5"/>
      <c r="I5"/>
      <c r="J5"/>
      <c r="K5"/>
      <c r="L5" s="14">
        <f>$L$4*120</f>
        <v>10.812</v>
      </c>
      <c r="M5" s="57" t="s">
        <v>20</v>
      </c>
      <c r="N5" s="57"/>
    </row>
    <row r="6" spans="1:14" s="3" customFormat="1" ht="12.75">
      <c r="A6"/>
      <c r="B6"/>
      <c r="C6"/>
      <c r="D6"/>
      <c r="E6"/>
      <c r="F6"/>
      <c r="G6"/>
      <c r="H6"/>
      <c r="I6"/>
      <c r="J6"/>
      <c r="K6"/>
      <c r="L6"/>
      <c r="M6"/>
      <c r="N6"/>
    </row>
    <row r="7" spans="1:15" s="2" customFormat="1" ht="12.75">
      <c r="A7" s="3" t="s">
        <v>1</v>
      </c>
      <c r="B7" s="3"/>
      <c r="C7" s="3" t="s">
        <v>9</v>
      </c>
      <c r="D7" s="3"/>
      <c r="E7" s="3" t="s">
        <v>14</v>
      </c>
      <c r="F7" s="3" t="s">
        <v>19</v>
      </c>
      <c r="G7" s="3"/>
      <c r="H7" s="53" t="s">
        <v>0</v>
      </c>
      <c r="I7" s="56"/>
      <c r="J7" s="56"/>
      <c r="K7" s="3"/>
      <c r="L7" s="53" t="s">
        <v>22</v>
      </c>
      <c r="M7" s="56"/>
      <c r="N7" s="3"/>
      <c r="O7" s="23"/>
    </row>
    <row r="8" spans="1:14" ht="12.75">
      <c r="A8" s="3"/>
      <c r="B8" s="3"/>
      <c r="C8" s="3"/>
      <c r="D8" s="3"/>
      <c r="E8" s="3" t="s">
        <v>18</v>
      </c>
      <c r="F8" s="3" t="s">
        <v>11</v>
      </c>
      <c r="G8" s="3"/>
      <c r="H8" s="3" t="s">
        <v>3</v>
      </c>
      <c r="I8" s="3" t="s">
        <v>4</v>
      </c>
      <c r="J8" s="3" t="s">
        <v>2</v>
      </c>
      <c r="K8" s="3"/>
      <c r="L8" s="3"/>
      <c r="M8" s="3"/>
      <c r="N8" s="3"/>
    </row>
    <row r="9" spans="1:14" ht="15.75">
      <c r="A9" s="2"/>
      <c r="B9" s="2"/>
      <c r="C9" s="2" t="s">
        <v>10</v>
      </c>
      <c r="D9" s="2"/>
      <c r="E9" s="3" t="s">
        <v>8</v>
      </c>
      <c r="F9" s="7" t="s">
        <v>13</v>
      </c>
      <c r="G9" s="2"/>
      <c r="H9" s="2" t="s">
        <v>5</v>
      </c>
      <c r="I9" s="2" t="s">
        <v>6</v>
      </c>
      <c r="J9" s="2" t="s">
        <v>7</v>
      </c>
      <c r="K9" s="2"/>
      <c r="L9" s="2" t="s">
        <v>21</v>
      </c>
      <c r="M9" s="2" t="s">
        <v>23</v>
      </c>
      <c r="N9" s="2"/>
    </row>
    <row r="10" spans="1:14" ht="15.75">
      <c r="A10" s="1" t="s">
        <v>25</v>
      </c>
      <c r="B10" s="2"/>
      <c r="C10" s="2"/>
      <c r="D10" s="2"/>
      <c r="E10" s="3"/>
      <c r="F10" s="7"/>
      <c r="G10" s="2"/>
      <c r="H10" s="2"/>
      <c r="I10" s="2"/>
      <c r="J10" s="2"/>
      <c r="K10" s="2"/>
      <c r="L10" s="2"/>
      <c r="M10" s="2"/>
      <c r="N10" s="2"/>
    </row>
    <row r="12" spans="1:13" ht="12.75">
      <c r="A12" s="18" t="s">
        <v>49</v>
      </c>
      <c r="C12" s="20">
        <v>8</v>
      </c>
      <c r="E12" s="21">
        <v>1</v>
      </c>
      <c r="F12" s="16">
        <f>ACOS(E12)*180/PI()</f>
        <v>0</v>
      </c>
      <c r="H12" s="16">
        <f>F$4*C12*E12</f>
        <v>1840</v>
      </c>
      <c r="I12" s="16">
        <f>F$4*C12*SIN(ACOS(E12))</f>
        <v>0</v>
      </c>
      <c r="J12" s="16">
        <f>SQRT(SUMSQ(H12,I12))</f>
        <v>1840</v>
      </c>
      <c r="L12" s="17">
        <f>IF(H12,L$5*J12/H12,0)</f>
        <v>10.812</v>
      </c>
      <c r="M12" s="22">
        <f>IF(L12,L12/L$5-1,0)</f>
        <v>0</v>
      </c>
    </row>
    <row r="13" spans="1:13" ht="12.75">
      <c r="A13" s="18"/>
      <c r="C13" s="20"/>
      <c r="E13" s="21"/>
      <c r="F13" s="16"/>
      <c r="H13" s="16"/>
      <c r="I13" s="16"/>
      <c r="J13" s="16"/>
      <c r="L13" s="17"/>
      <c r="M13" s="22"/>
    </row>
    <row r="14" spans="1:13" ht="12.75">
      <c r="A14" s="18" t="s">
        <v>55</v>
      </c>
      <c r="C14" s="20">
        <v>8</v>
      </c>
      <c r="E14" s="21">
        <v>0.98</v>
      </c>
      <c r="F14" s="16">
        <f aca="true" t="shared" si="0" ref="F14:F31">ACOS(E14)*180/PI()</f>
        <v>11.47834095453358</v>
      </c>
      <c r="H14" s="16">
        <f aca="true" t="shared" si="1" ref="H14:H31">F$4*C14*E14</f>
        <v>1803.2</v>
      </c>
      <c r="I14" s="16">
        <f aca="true" t="shared" si="2" ref="I14:I31">F$4*C14*SIN(ACOS(E14))</f>
        <v>366.1553768552364</v>
      </c>
      <c r="J14" s="16">
        <f>SQRT(SUMSQ(H14,I14))</f>
        <v>1840.0000000000002</v>
      </c>
      <c r="L14" s="17">
        <f>IF(H14,L$5*J14/H14,0)</f>
        <v>11.03265306122449</v>
      </c>
      <c r="M14" s="22">
        <f>IF(L14,L14/L$5-1,0)</f>
        <v>0.020408163265306145</v>
      </c>
    </row>
    <row r="15" spans="1:13" ht="12.75">
      <c r="A15" s="18"/>
      <c r="C15" s="20"/>
      <c r="E15" s="21"/>
      <c r="F15" s="16">
        <f t="shared" si="0"/>
        <v>90</v>
      </c>
      <c r="H15" s="16">
        <f t="shared" si="1"/>
        <v>0</v>
      </c>
      <c r="I15" s="16">
        <f t="shared" si="2"/>
        <v>0</v>
      </c>
      <c r="J15" s="16">
        <f aca="true" t="shared" si="3" ref="J15:J26">SQRT(SUMSQ(H15,I15))</f>
        <v>0</v>
      </c>
      <c r="L15" s="17">
        <f aca="true" t="shared" si="4" ref="L15:L26">IF(H15,L$5*J15/H15,0)</f>
        <v>0</v>
      </c>
      <c r="M15" s="22">
        <f aca="true" t="shared" si="5" ref="M15:M41">IF(L15,L15/L$5-1,0)</f>
        <v>0</v>
      </c>
    </row>
    <row r="16" spans="1:13" ht="12.75">
      <c r="A16" s="18" t="s">
        <v>50</v>
      </c>
      <c r="C16" s="20">
        <v>6.8</v>
      </c>
      <c r="E16" s="21">
        <v>0.94</v>
      </c>
      <c r="F16" s="16">
        <f t="shared" si="0"/>
        <v>19.948443588802697</v>
      </c>
      <c r="H16" s="16">
        <f t="shared" si="1"/>
        <v>1470.1599999999999</v>
      </c>
      <c r="I16" s="16">
        <f t="shared" si="2"/>
        <v>533.5968275767764</v>
      </c>
      <c r="J16" s="16">
        <f t="shared" si="3"/>
        <v>1564</v>
      </c>
      <c r="L16" s="17">
        <f t="shared" si="4"/>
        <v>11.50212765957447</v>
      </c>
      <c r="M16" s="22">
        <f t="shared" si="5"/>
        <v>0.06382978723404276</v>
      </c>
    </row>
    <row r="17" spans="1:13" ht="12.75">
      <c r="A17" s="18"/>
      <c r="C17" s="20"/>
      <c r="E17" s="21"/>
      <c r="F17" s="16">
        <f t="shared" si="0"/>
        <v>90</v>
      </c>
      <c r="H17" s="16">
        <f>F$4*C17*E17</f>
        <v>0</v>
      </c>
      <c r="I17" s="16">
        <f>F$4*C17*SIN(ACOS(E17))</f>
        <v>0</v>
      </c>
      <c r="J17" s="16">
        <f>SQRT(SUMSQ(H17,I17))</f>
        <v>0</v>
      </c>
      <c r="L17" s="17">
        <f>IF(H17,L$5*J17/H17,0)</f>
        <v>0</v>
      </c>
      <c r="M17" s="22">
        <f t="shared" si="5"/>
        <v>0</v>
      </c>
    </row>
    <row r="18" spans="1:13" ht="12.75">
      <c r="A18" s="18" t="s">
        <v>79</v>
      </c>
      <c r="C18" s="20">
        <v>6.05</v>
      </c>
      <c r="E18" s="21">
        <v>0.99</v>
      </c>
      <c r="F18" s="16">
        <f t="shared" si="0"/>
        <v>8.109614455994183</v>
      </c>
      <c r="H18" s="16">
        <f>F$4*C18*E18</f>
        <v>1377.585</v>
      </c>
      <c r="I18" s="16">
        <f>F$4*C18*SIN(ACOS(E18))</f>
        <v>196.29523115705086</v>
      </c>
      <c r="J18" s="16">
        <f>SQRT(SUMSQ(H18,I18))</f>
        <v>1391.5</v>
      </c>
      <c r="L18" s="17">
        <f>IF(H18,L$5*J18/H18,0)</f>
        <v>10.92121212121212</v>
      </c>
      <c r="M18" s="22">
        <f t="shared" si="5"/>
        <v>0.010101010101009944</v>
      </c>
    </row>
    <row r="19" spans="1:13" ht="12.75">
      <c r="A19" s="19" t="s">
        <v>80</v>
      </c>
      <c r="C19" s="20">
        <v>3.3</v>
      </c>
      <c r="E19" s="21">
        <v>0.92</v>
      </c>
      <c r="F19" s="16">
        <f t="shared" si="0"/>
        <v>23.07391806563096</v>
      </c>
      <c r="H19" s="16">
        <f>F$4*C19*E19</f>
        <v>698.2800000000001</v>
      </c>
      <c r="I19" s="16">
        <f>F$4*C19*SIN(ACOS(E19))</f>
        <v>297.46603436358896</v>
      </c>
      <c r="J19" s="16">
        <f>SQRT(SUMSQ(H19,I19))</f>
        <v>759</v>
      </c>
      <c r="L19" s="17">
        <f>IF(H19,L$5*J19/H19,0)</f>
        <v>11.752173913043476</v>
      </c>
      <c r="M19" s="22">
        <f t="shared" si="5"/>
        <v>0.08695652173913038</v>
      </c>
    </row>
    <row r="20" spans="1:13" ht="12.75">
      <c r="A20" s="18"/>
      <c r="C20" s="20"/>
      <c r="E20" s="21"/>
      <c r="F20" s="16">
        <f t="shared" si="0"/>
        <v>90</v>
      </c>
      <c r="H20" s="16">
        <f t="shared" si="1"/>
        <v>0</v>
      </c>
      <c r="I20" s="16">
        <f t="shared" si="2"/>
        <v>0</v>
      </c>
      <c r="J20" s="16">
        <f t="shared" si="3"/>
        <v>0</v>
      </c>
      <c r="L20" s="17">
        <f t="shared" si="4"/>
        <v>0</v>
      </c>
      <c r="M20" s="22">
        <f t="shared" si="5"/>
        <v>0</v>
      </c>
    </row>
    <row r="21" spans="1:13" ht="12.75">
      <c r="A21" s="18" t="s">
        <v>61</v>
      </c>
      <c r="C21" s="20">
        <v>1.26</v>
      </c>
      <c r="E21" s="21">
        <v>0.6</v>
      </c>
      <c r="F21" s="16">
        <f t="shared" si="0"/>
        <v>53.13010235415598</v>
      </c>
      <c r="H21" s="16">
        <f t="shared" si="1"/>
        <v>173.88</v>
      </c>
      <c r="I21" s="16">
        <f t="shared" si="2"/>
        <v>231.84</v>
      </c>
      <c r="J21" s="16">
        <f t="shared" si="3"/>
        <v>289.8</v>
      </c>
      <c r="L21" s="17">
        <f t="shared" si="4"/>
        <v>18.02</v>
      </c>
      <c r="M21" s="22">
        <f t="shared" si="5"/>
        <v>0.6666666666666667</v>
      </c>
    </row>
    <row r="22" spans="1:13" ht="12.75">
      <c r="A22" s="19" t="s">
        <v>24</v>
      </c>
      <c r="C22" s="20">
        <v>1.175</v>
      </c>
      <c r="E22" s="21">
        <v>0.52</v>
      </c>
      <c r="F22" s="16">
        <f t="shared" si="0"/>
        <v>58.66774850240574</v>
      </c>
      <c r="H22" s="16">
        <f t="shared" si="1"/>
        <v>140.53</v>
      </c>
      <c r="I22" s="16">
        <f t="shared" si="2"/>
        <v>230.83843180891694</v>
      </c>
      <c r="J22" s="16">
        <f t="shared" si="3"/>
        <v>270.25</v>
      </c>
      <c r="L22" s="17">
        <f t="shared" si="4"/>
        <v>20.79230769230769</v>
      </c>
      <c r="M22" s="22">
        <f t="shared" si="5"/>
        <v>0.9230769230769231</v>
      </c>
    </row>
    <row r="23" spans="1:13" ht="12.75">
      <c r="A23" s="18" t="s">
        <v>62</v>
      </c>
      <c r="C23" s="20">
        <v>1.088</v>
      </c>
      <c r="E23" s="21">
        <v>0.72</v>
      </c>
      <c r="F23" s="16">
        <f t="shared" si="0"/>
        <v>43.94551956230884</v>
      </c>
      <c r="H23" s="16">
        <f t="shared" si="1"/>
        <v>180.1728</v>
      </c>
      <c r="I23" s="16">
        <f t="shared" si="2"/>
        <v>173.66006950407456</v>
      </c>
      <c r="J23" s="16">
        <f t="shared" si="3"/>
        <v>250.24</v>
      </c>
      <c r="L23" s="17">
        <f t="shared" si="4"/>
        <v>15.016666666666667</v>
      </c>
      <c r="M23" s="22">
        <f t="shared" si="5"/>
        <v>0.38888888888888906</v>
      </c>
    </row>
    <row r="24" spans="1:13" ht="12.75">
      <c r="A24" s="19" t="s">
        <v>24</v>
      </c>
      <c r="C24" s="20">
        <v>1.83</v>
      </c>
      <c r="E24" s="21">
        <v>0.69</v>
      </c>
      <c r="F24" s="16">
        <f t="shared" si="0"/>
        <v>46.369891132145696</v>
      </c>
      <c r="H24" s="16">
        <f t="shared" si="1"/>
        <v>290.421</v>
      </c>
      <c r="I24" s="16">
        <f t="shared" si="2"/>
        <v>304.6513626409704</v>
      </c>
      <c r="J24" s="16">
        <f t="shared" si="3"/>
        <v>420.90000000000003</v>
      </c>
      <c r="L24" s="17">
        <f t="shared" si="4"/>
        <v>15.669565217391305</v>
      </c>
      <c r="M24" s="22">
        <f t="shared" si="5"/>
        <v>0.4492753623188408</v>
      </c>
    </row>
    <row r="25" spans="1:13" ht="12.75">
      <c r="A25" s="18"/>
      <c r="C25" s="20"/>
      <c r="E25" s="21"/>
      <c r="F25" s="16">
        <f t="shared" si="0"/>
        <v>90</v>
      </c>
      <c r="H25" s="16">
        <f t="shared" si="1"/>
        <v>0</v>
      </c>
      <c r="I25" s="16">
        <f t="shared" si="2"/>
        <v>0</v>
      </c>
      <c r="J25" s="16">
        <f t="shared" si="3"/>
        <v>0</v>
      </c>
      <c r="L25" s="17">
        <f t="shared" si="4"/>
        <v>0</v>
      </c>
      <c r="M25" s="22">
        <f t="shared" si="5"/>
        <v>0</v>
      </c>
    </row>
    <row r="26" spans="1:13" ht="12.75">
      <c r="A26" s="18" t="s">
        <v>63</v>
      </c>
      <c r="C26" s="20">
        <v>8.7</v>
      </c>
      <c r="E26" s="21">
        <v>1</v>
      </c>
      <c r="F26" s="16">
        <f t="shared" si="0"/>
        <v>0</v>
      </c>
      <c r="H26" s="16">
        <f t="shared" si="1"/>
        <v>2000.9999999999998</v>
      </c>
      <c r="I26" s="16">
        <f t="shared" si="2"/>
        <v>0</v>
      </c>
      <c r="J26" s="16">
        <f t="shared" si="3"/>
        <v>2000.9999999999998</v>
      </c>
      <c r="L26" s="17">
        <f t="shared" si="4"/>
        <v>10.812</v>
      </c>
      <c r="M26" s="22">
        <f t="shared" si="5"/>
        <v>0</v>
      </c>
    </row>
    <row r="27" spans="1:13" ht="12.75">
      <c r="A27" s="19" t="s">
        <v>52</v>
      </c>
      <c r="C27" s="20">
        <v>0.72</v>
      </c>
      <c r="E27" s="21">
        <v>0.58</v>
      </c>
      <c r="F27" s="16">
        <f t="shared" si="0"/>
        <v>54.54945736082459</v>
      </c>
      <c r="H27" s="16">
        <f t="shared" si="1"/>
        <v>96.04799999999999</v>
      </c>
      <c r="I27" s="16">
        <f t="shared" si="2"/>
        <v>134.9004881236536</v>
      </c>
      <c r="J27" s="16">
        <f>SQRT(SUMSQ(H27,I27))</f>
        <v>165.6</v>
      </c>
      <c r="L27" s="17">
        <f>IF(H27,L$5*J27/H27,0)</f>
        <v>18.641379310344828</v>
      </c>
      <c r="M27" s="22">
        <f t="shared" si="5"/>
        <v>0.7241379310344829</v>
      </c>
    </row>
    <row r="28" spans="1:13" ht="12.75">
      <c r="A28" s="19" t="s">
        <v>51</v>
      </c>
      <c r="C28" s="20">
        <v>1</v>
      </c>
      <c r="E28" s="21">
        <v>0.68</v>
      </c>
      <c r="F28" s="16">
        <f t="shared" si="0"/>
        <v>47.156356956403656</v>
      </c>
      <c r="H28" s="16">
        <f t="shared" si="1"/>
        <v>156.4</v>
      </c>
      <c r="I28" s="16">
        <f t="shared" si="2"/>
        <v>168.63878557437488</v>
      </c>
      <c r="J28" s="16">
        <f aca="true" t="shared" si="6" ref="J28:J41">SQRT(SUMSQ(H28,I28))</f>
        <v>229.99999999999997</v>
      </c>
      <c r="L28" s="17">
        <f aca="true" t="shared" si="7" ref="L28:L41">IF(H28,L$5*J28/H28,0)</f>
        <v>15.899999999999999</v>
      </c>
      <c r="M28" s="22">
        <f t="shared" si="5"/>
        <v>0.47058823529411753</v>
      </c>
    </row>
    <row r="29" spans="1:13" ht="12.75">
      <c r="A29" s="18"/>
      <c r="C29" s="20">
        <v>0</v>
      </c>
      <c r="E29" s="21"/>
      <c r="F29" s="16">
        <f t="shared" si="0"/>
        <v>90</v>
      </c>
      <c r="H29" s="16">
        <f t="shared" si="1"/>
        <v>0</v>
      </c>
      <c r="I29" s="16">
        <f t="shared" si="2"/>
        <v>0</v>
      </c>
      <c r="J29" s="16">
        <f t="shared" si="6"/>
        <v>0</v>
      </c>
      <c r="L29" s="17">
        <f t="shared" si="7"/>
        <v>0</v>
      </c>
      <c r="M29" s="22">
        <f t="shared" si="5"/>
        <v>0</v>
      </c>
    </row>
    <row r="30" spans="1:13" ht="12.75">
      <c r="A30" s="18" t="s">
        <v>56</v>
      </c>
      <c r="C30" s="20">
        <v>2.8</v>
      </c>
      <c r="E30" s="21">
        <v>1</v>
      </c>
      <c r="F30" s="16">
        <f t="shared" si="0"/>
        <v>0</v>
      </c>
      <c r="H30" s="16">
        <f t="shared" si="1"/>
        <v>644</v>
      </c>
      <c r="I30" s="16">
        <f t="shared" si="2"/>
        <v>0</v>
      </c>
      <c r="J30" s="16">
        <f t="shared" si="6"/>
        <v>644</v>
      </c>
      <c r="L30" s="17">
        <f t="shared" si="7"/>
        <v>10.812</v>
      </c>
      <c r="M30" s="22">
        <f t="shared" si="5"/>
        <v>0</v>
      </c>
    </row>
    <row r="31" spans="1:13" ht="12.75">
      <c r="A31" s="19" t="s">
        <v>57</v>
      </c>
      <c r="C31" s="20">
        <v>0.16</v>
      </c>
      <c r="E31" s="21">
        <v>0.55</v>
      </c>
      <c r="F31" s="16">
        <f t="shared" si="0"/>
        <v>56.63298703076825</v>
      </c>
      <c r="H31" s="16">
        <f t="shared" si="1"/>
        <v>20.240000000000006</v>
      </c>
      <c r="I31" s="16">
        <f t="shared" si="2"/>
        <v>30.734059282821725</v>
      </c>
      <c r="J31" s="16">
        <f t="shared" si="6"/>
        <v>36.800000000000004</v>
      </c>
      <c r="L31" s="17">
        <f t="shared" si="7"/>
        <v>19.658181818181816</v>
      </c>
      <c r="M31" s="22">
        <f t="shared" si="5"/>
        <v>0.8181818181818181</v>
      </c>
    </row>
    <row r="32" spans="1:13" ht="12.75">
      <c r="A32" s="19"/>
      <c r="C32" s="20"/>
      <c r="E32" s="21"/>
      <c r="F32" s="16"/>
      <c r="H32" s="16"/>
      <c r="I32" s="16"/>
      <c r="J32" s="16"/>
      <c r="L32" s="17"/>
      <c r="M32" s="22"/>
    </row>
    <row r="33" spans="1:13" ht="15.75">
      <c r="A33" s="51"/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</row>
    <row r="34" spans="1:13" ht="15.75">
      <c r="A34" s="1" t="s">
        <v>68</v>
      </c>
      <c r="B34" s="45"/>
      <c r="C34" s="46"/>
      <c r="D34" s="45"/>
      <c r="E34" s="47"/>
      <c r="F34" s="48"/>
      <c r="G34" s="45"/>
      <c r="H34" s="49"/>
      <c r="I34" s="49"/>
      <c r="J34" s="48"/>
      <c r="K34" s="45"/>
      <c r="L34" s="49"/>
      <c r="M34" s="50"/>
    </row>
    <row r="35" spans="2:13" ht="12.75">
      <c r="B35" s="45"/>
      <c r="C35" s="46"/>
      <c r="D35" s="45"/>
      <c r="E35" s="47"/>
      <c r="F35" s="48"/>
      <c r="G35" s="45"/>
      <c r="H35" s="49"/>
      <c r="I35" s="49"/>
      <c r="J35" s="48"/>
      <c r="K35" s="45"/>
      <c r="L35" s="49"/>
      <c r="M35" s="50"/>
    </row>
    <row r="36" spans="1:13" ht="12.75">
      <c r="A36" s="18" t="s">
        <v>69</v>
      </c>
      <c r="C36" s="20">
        <v>0.33</v>
      </c>
      <c r="E36" s="21">
        <v>1</v>
      </c>
      <c r="F36" s="16">
        <f aca="true" t="shared" si="8" ref="F36:F60">ACOS(E36)*180/PI()</f>
        <v>0</v>
      </c>
      <c r="H36" s="16">
        <f aca="true" t="shared" si="9" ref="H36:H41">F$4*C36*E36</f>
        <v>75.9</v>
      </c>
      <c r="I36" s="16">
        <f aca="true" t="shared" si="10" ref="I36:I41">F$4*C36*SIN(ACOS(E36))</f>
        <v>0</v>
      </c>
      <c r="J36" s="16">
        <f t="shared" si="6"/>
        <v>75.9</v>
      </c>
      <c r="L36" s="17">
        <f t="shared" si="7"/>
        <v>10.812</v>
      </c>
      <c r="M36" s="22">
        <f t="shared" si="5"/>
        <v>0</v>
      </c>
    </row>
    <row r="37" spans="1:13" ht="12.75">
      <c r="A37" s="18"/>
      <c r="C37" s="20"/>
      <c r="E37" s="21"/>
      <c r="F37" s="16">
        <f t="shared" si="8"/>
        <v>90</v>
      </c>
      <c r="H37" s="16">
        <f t="shared" si="9"/>
        <v>0</v>
      </c>
      <c r="I37" s="16">
        <f t="shared" si="10"/>
        <v>0</v>
      </c>
      <c r="J37" s="16">
        <f t="shared" si="6"/>
        <v>0</v>
      </c>
      <c r="L37" s="17">
        <f t="shared" si="7"/>
        <v>0</v>
      </c>
      <c r="M37" s="22">
        <f t="shared" si="5"/>
        <v>0</v>
      </c>
    </row>
    <row r="38" spans="1:13" ht="12.75">
      <c r="A38" s="18" t="s">
        <v>70</v>
      </c>
      <c r="C38" s="20">
        <v>0.125</v>
      </c>
      <c r="E38" s="21">
        <v>0.65</v>
      </c>
      <c r="F38" s="16">
        <f t="shared" si="8"/>
        <v>49.45839812649548</v>
      </c>
      <c r="H38" s="16">
        <f t="shared" si="9"/>
        <v>18.6875</v>
      </c>
      <c r="I38" s="16">
        <f t="shared" si="10"/>
        <v>21.84810847075783</v>
      </c>
      <c r="J38" s="16">
        <f t="shared" si="6"/>
        <v>28.75</v>
      </c>
      <c r="L38" s="17">
        <f t="shared" si="7"/>
        <v>16.633846153846154</v>
      </c>
      <c r="M38" s="22">
        <f t="shared" si="5"/>
        <v>0.5384615384615385</v>
      </c>
    </row>
    <row r="39" spans="1:13" ht="12.75">
      <c r="A39" s="18"/>
      <c r="C39" s="20"/>
      <c r="E39" s="21"/>
      <c r="F39" s="16">
        <f t="shared" si="8"/>
        <v>90</v>
      </c>
      <c r="H39" s="16">
        <f t="shared" si="9"/>
        <v>0</v>
      </c>
      <c r="I39" s="16">
        <f t="shared" si="10"/>
        <v>0</v>
      </c>
      <c r="J39" s="16">
        <f t="shared" si="6"/>
        <v>0</v>
      </c>
      <c r="L39" s="17">
        <f t="shared" si="7"/>
        <v>0</v>
      </c>
      <c r="M39" s="22">
        <f t="shared" si="5"/>
        <v>0</v>
      </c>
    </row>
    <row r="40" spans="1:13" ht="12.75">
      <c r="A40" s="18" t="s">
        <v>71</v>
      </c>
      <c r="C40" s="20">
        <v>0.063</v>
      </c>
      <c r="E40" s="21">
        <v>0.62</v>
      </c>
      <c r="F40" s="16">
        <f t="shared" si="8"/>
        <v>51.68386552633426</v>
      </c>
      <c r="H40" s="16">
        <f t="shared" si="9"/>
        <v>8.9838</v>
      </c>
      <c r="I40" s="16">
        <f t="shared" si="10"/>
        <v>11.368880224542785</v>
      </c>
      <c r="J40" s="16">
        <f t="shared" si="6"/>
        <v>14.49</v>
      </c>
      <c r="L40" s="17">
        <f t="shared" si="7"/>
        <v>17.438709677419354</v>
      </c>
      <c r="M40" s="22">
        <f t="shared" si="5"/>
        <v>0.6129032258064515</v>
      </c>
    </row>
    <row r="41" spans="1:13" s="45" customFormat="1" ht="15.75">
      <c r="A41" s="18"/>
      <c r="B41" s="51"/>
      <c r="C41" s="20"/>
      <c r="D41" s="51"/>
      <c r="E41" s="21"/>
      <c r="F41" s="16">
        <f t="shared" si="8"/>
        <v>90</v>
      </c>
      <c r="G41" s="51"/>
      <c r="H41" s="16">
        <f t="shared" si="9"/>
        <v>0</v>
      </c>
      <c r="I41" s="16">
        <f t="shared" si="10"/>
        <v>0</v>
      </c>
      <c r="J41" s="16">
        <f t="shared" si="6"/>
        <v>0</v>
      </c>
      <c r="K41" s="51"/>
      <c r="L41" s="17">
        <f t="shared" si="7"/>
        <v>0</v>
      </c>
      <c r="M41" s="22">
        <f t="shared" si="5"/>
        <v>0</v>
      </c>
    </row>
    <row r="42" spans="1:13" s="45" customFormat="1" ht="15.75">
      <c r="A42" s="44"/>
      <c r="B42" s="51"/>
      <c r="C42" s="46"/>
      <c r="D42" s="51"/>
      <c r="E42" s="47"/>
      <c r="F42" s="48"/>
      <c r="G42" s="51"/>
      <c r="H42" s="48"/>
      <c r="I42" s="48"/>
      <c r="J42" s="48"/>
      <c r="K42" s="51"/>
      <c r="L42" s="49"/>
      <c r="M42" s="51"/>
    </row>
    <row r="43" spans="1:13" ht="15.75">
      <c r="A43" s="1" t="s">
        <v>26</v>
      </c>
      <c r="B43" s="45"/>
      <c r="C43" s="46"/>
      <c r="D43" s="45"/>
      <c r="E43" s="47"/>
      <c r="F43" s="48"/>
      <c r="G43" s="45"/>
      <c r="H43" s="49"/>
      <c r="I43" s="49"/>
      <c r="J43" s="48"/>
      <c r="K43" s="45"/>
      <c r="L43" s="49"/>
      <c r="M43" s="50"/>
    </row>
    <row r="44" spans="2:13" ht="12.75">
      <c r="B44" s="45"/>
      <c r="C44" s="46"/>
      <c r="D44" s="45"/>
      <c r="E44" s="47"/>
      <c r="F44" s="48"/>
      <c r="G44" s="45"/>
      <c r="H44" s="49"/>
      <c r="I44" s="49"/>
      <c r="J44" s="48"/>
      <c r="K44" s="45"/>
      <c r="L44" s="49"/>
      <c r="M44" s="50"/>
    </row>
    <row r="45" spans="1:13" ht="12.75">
      <c r="A45" s="18" t="s">
        <v>28</v>
      </c>
      <c r="C45" s="20">
        <v>0.06</v>
      </c>
      <c r="E45" s="21">
        <v>0.88</v>
      </c>
      <c r="F45" s="16">
        <f t="shared" si="8"/>
        <v>28.357636576327966</v>
      </c>
      <c r="H45" s="16">
        <f>F$4*C45*E45</f>
        <v>12.143999999999998</v>
      </c>
      <c r="I45" s="16">
        <f>F$4*C45*SIN(ACOS(E45))</f>
        <v>6.554636832044927</v>
      </c>
      <c r="J45" s="16">
        <f>SQRT(SUMSQ(H45,I45))</f>
        <v>13.799999999999997</v>
      </c>
      <c r="L45" s="17">
        <f>IF(H45,L$5*J45/H45,0)</f>
        <v>12.286363636363633</v>
      </c>
      <c r="M45" s="22">
        <f aca="true" t="shared" si="11" ref="M45:M60">IF(L45,L45/L$5-1,0)</f>
        <v>0.13636363636363624</v>
      </c>
    </row>
    <row r="46" spans="1:13" ht="12.75">
      <c r="A46" s="19"/>
      <c r="C46" s="20"/>
      <c r="E46" s="21"/>
      <c r="F46" s="16">
        <f t="shared" si="8"/>
        <v>90</v>
      </c>
      <c r="H46" s="16">
        <f aca="true" t="shared" si="12" ref="H46:H60">F$4*C46*E46</f>
        <v>0</v>
      </c>
      <c r="I46" s="16">
        <f aca="true" t="shared" si="13" ref="I46:I60">F$4*C46*SIN(ACOS(E46))</f>
        <v>0</v>
      </c>
      <c r="J46" s="16">
        <f aca="true" t="shared" si="14" ref="J46:J60">SQRT(SUMSQ(H46,I46))</f>
        <v>0</v>
      </c>
      <c r="L46" s="17">
        <f aca="true" t="shared" si="15" ref="L46:L60">IF(H46,L$5*J46/H46,0)</f>
        <v>0</v>
      </c>
      <c r="M46" s="22">
        <f t="shared" si="11"/>
        <v>0</v>
      </c>
    </row>
    <row r="47" spans="1:13" ht="12.75">
      <c r="A47" s="18" t="s">
        <v>58</v>
      </c>
      <c r="C47" s="20">
        <v>0.78</v>
      </c>
      <c r="E47" s="21">
        <v>0.83</v>
      </c>
      <c r="F47" s="16">
        <f t="shared" si="8"/>
        <v>33.901261996866275</v>
      </c>
      <c r="H47" s="16">
        <f t="shared" si="12"/>
        <v>148.902</v>
      </c>
      <c r="I47" s="16">
        <f t="shared" si="13"/>
        <v>100.06275229075005</v>
      </c>
      <c r="J47" s="16">
        <f t="shared" si="14"/>
        <v>179.4</v>
      </c>
      <c r="L47" s="17">
        <f t="shared" si="15"/>
        <v>13.026506024096387</v>
      </c>
      <c r="M47" s="22">
        <f t="shared" si="11"/>
        <v>0.20481927710843384</v>
      </c>
    </row>
    <row r="48" spans="1:13" ht="12.75">
      <c r="A48" s="18"/>
      <c r="C48" s="20"/>
      <c r="E48" s="21"/>
      <c r="F48" s="16">
        <f t="shared" si="8"/>
        <v>90</v>
      </c>
      <c r="H48" s="16">
        <f t="shared" si="12"/>
        <v>0</v>
      </c>
      <c r="I48" s="16">
        <f t="shared" si="13"/>
        <v>0</v>
      </c>
      <c r="J48" s="16">
        <f t="shared" si="14"/>
        <v>0</v>
      </c>
      <c r="L48" s="17">
        <f t="shared" si="15"/>
        <v>0</v>
      </c>
      <c r="M48" s="22">
        <f t="shared" si="11"/>
        <v>0</v>
      </c>
    </row>
    <row r="49" spans="1:13" ht="12.75">
      <c r="A49" s="18" t="s">
        <v>66</v>
      </c>
      <c r="C49" s="20">
        <v>1.25</v>
      </c>
      <c r="E49" s="21">
        <v>0.82</v>
      </c>
      <c r="F49" s="16">
        <f t="shared" si="8"/>
        <v>34.91520624744419</v>
      </c>
      <c r="H49" s="16">
        <f t="shared" si="12"/>
        <v>235.75</v>
      </c>
      <c r="I49" s="16">
        <f t="shared" si="13"/>
        <v>164.55451224442314</v>
      </c>
      <c r="J49" s="16">
        <f t="shared" si="14"/>
        <v>287.5</v>
      </c>
      <c r="L49" s="17">
        <f t="shared" si="15"/>
        <v>13.185365853658535</v>
      </c>
      <c r="M49" s="22">
        <f t="shared" si="11"/>
        <v>0.2195121951219512</v>
      </c>
    </row>
    <row r="50" spans="1:13" ht="12.75">
      <c r="A50" s="18"/>
      <c r="C50" s="20"/>
      <c r="E50" s="21"/>
      <c r="F50" s="16">
        <f t="shared" si="8"/>
        <v>90</v>
      </c>
      <c r="H50" s="16">
        <f t="shared" si="12"/>
        <v>0</v>
      </c>
      <c r="I50" s="16">
        <f t="shared" si="13"/>
        <v>0</v>
      </c>
      <c r="J50" s="16">
        <f t="shared" si="14"/>
        <v>0</v>
      </c>
      <c r="L50" s="17">
        <f t="shared" si="15"/>
        <v>0</v>
      </c>
      <c r="M50" s="22">
        <f t="shared" si="11"/>
        <v>0</v>
      </c>
    </row>
    <row r="51" spans="1:13" ht="12.75">
      <c r="A51" s="18" t="s">
        <v>53</v>
      </c>
      <c r="C51" s="20">
        <v>0.4</v>
      </c>
      <c r="E51" s="21">
        <v>0.77</v>
      </c>
      <c r="F51" s="16">
        <f t="shared" si="8"/>
        <v>39.64611114697371</v>
      </c>
      <c r="H51" s="16">
        <f t="shared" si="12"/>
        <v>70.84</v>
      </c>
      <c r="I51" s="16">
        <f t="shared" si="13"/>
        <v>58.70003747869331</v>
      </c>
      <c r="J51" s="16">
        <f t="shared" si="14"/>
        <v>92</v>
      </c>
      <c r="L51" s="17">
        <f t="shared" si="15"/>
        <v>14.04155844155844</v>
      </c>
      <c r="M51" s="22">
        <f t="shared" si="11"/>
        <v>0.2987012987012987</v>
      </c>
    </row>
    <row r="52" spans="1:13" ht="12.75">
      <c r="A52" s="18"/>
      <c r="C52" s="20"/>
      <c r="E52" s="21"/>
      <c r="F52" s="16">
        <f t="shared" si="8"/>
        <v>90</v>
      </c>
      <c r="H52" s="16">
        <f t="shared" si="12"/>
        <v>0</v>
      </c>
      <c r="I52" s="16">
        <f t="shared" si="13"/>
        <v>0</v>
      </c>
      <c r="J52" s="16">
        <f t="shared" si="14"/>
        <v>0</v>
      </c>
      <c r="L52" s="17">
        <f t="shared" si="15"/>
        <v>0</v>
      </c>
      <c r="M52" s="22">
        <f t="shared" si="11"/>
        <v>0</v>
      </c>
    </row>
    <row r="53" spans="1:13" ht="12.75">
      <c r="A53" s="18" t="s">
        <v>27</v>
      </c>
      <c r="C53" s="20">
        <v>0.066</v>
      </c>
      <c r="E53" s="21">
        <v>0.51</v>
      </c>
      <c r="F53" s="16">
        <f t="shared" si="8"/>
        <v>59.33617025761403</v>
      </c>
      <c r="H53" s="16">
        <f t="shared" si="12"/>
        <v>7.7418000000000005</v>
      </c>
      <c r="I53" s="16">
        <f t="shared" si="13"/>
        <v>13.057447405982535</v>
      </c>
      <c r="J53" s="16">
        <f t="shared" si="14"/>
        <v>15.180000000000001</v>
      </c>
      <c r="L53" s="17">
        <f t="shared" si="15"/>
        <v>21.2</v>
      </c>
      <c r="M53" s="22">
        <f t="shared" si="11"/>
        <v>0.9607843137254903</v>
      </c>
    </row>
    <row r="54" spans="1:13" ht="12.75">
      <c r="A54" s="18" t="s">
        <v>29</v>
      </c>
      <c r="C54" s="20">
        <v>0.095</v>
      </c>
      <c r="E54" s="21">
        <v>0.53</v>
      </c>
      <c r="F54" s="16">
        <f t="shared" si="8"/>
        <v>57.99454517223575</v>
      </c>
      <c r="H54" s="16">
        <f t="shared" si="12"/>
        <v>11.5805</v>
      </c>
      <c r="I54" s="16">
        <f t="shared" si="13"/>
        <v>18.52874846690947</v>
      </c>
      <c r="J54" s="16">
        <f t="shared" si="14"/>
        <v>21.85</v>
      </c>
      <c r="L54" s="17">
        <f t="shared" si="15"/>
        <v>20.4</v>
      </c>
      <c r="M54" s="22">
        <f t="shared" si="11"/>
        <v>0.8867924528301887</v>
      </c>
    </row>
    <row r="55" spans="1:13" ht="12.75">
      <c r="A55" s="18" t="s">
        <v>59</v>
      </c>
      <c r="C55" s="20">
        <v>0.21</v>
      </c>
      <c r="E55" s="21">
        <v>0.44</v>
      </c>
      <c r="F55" s="16">
        <f t="shared" si="8"/>
        <v>63.8961188626601</v>
      </c>
      <c r="H55" s="16">
        <f t="shared" si="12"/>
        <v>21.252</v>
      </c>
      <c r="I55" s="16">
        <f t="shared" si="13"/>
        <v>43.37329242748353</v>
      </c>
      <c r="J55" s="16">
        <f t="shared" si="14"/>
        <v>48.3</v>
      </c>
      <c r="L55" s="17">
        <f t="shared" si="15"/>
        <v>24.57272727272727</v>
      </c>
      <c r="M55" s="22">
        <f t="shared" si="11"/>
        <v>1.2727272727272725</v>
      </c>
    </row>
    <row r="56" spans="1:13" ht="12.75">
      <c r="A56" s="18"/>
      <c r="C56" s="20"/>
      <c r="E56" s="21"/>
      <c r="F56" s="16">
        <f t="shared" si="8"/>
        <v>90</v>
      </c>
      <c r="H56" s="16">
        <f t="shared" si="12"/>
        <v>0</v>
      </c>
      <c r="I56" s="16">
        <f t="shared" si="13"/>
        <v>0</v>
      </c>
      <c r="J56" s="16">
        <f t="shared" si="14"/>
        <v>0</v>
      </c>
      <c r="L56" s="17">
        <f t="shared" si="15"/>
        <v>0</v>
      </c>
      <c r="M56" s="22">
        <f t="shared" si="11"/>
        <v>0</v>
      </c>
    </row>
    <row r="57" spans="1:13" ht="12.75">
      <c r="A57" s="18" t="s">
        <v>60</v>
      </c>
      <c r="C57" s="20">
        <v>0.02</v>
      </c>
      <c r="E57" s="21">
        <v>0.92</v>
      </c>
      <c r="F57" s="16">
        <f t="shared" si="8"/>
        <v>23.07391806563096</v>
      </c>
      <c r="H57" s="16">
        <f t="shared" si="12"/>
        <v>4.232000000000001</v>
      </c>
      <c r="I57" s="16">
        <f t="shared" si="13"/>
        <v>1.8028244506884181</v>
      </c>
      <c r="J57" s="16">
        <f t="shared" si="14"/>
        <v>4.6000000000000005</v>
      </c>
      <c r="L57" s="17">
        <f t="shared" si="15"/>
        <v>11.752173913043476</v>
      </c>
      <c r="M57" s="22">
        <f t="shared" si="11"/>
        <v>0.08695652173913038</v>
      </c>
    </row>
    <row r="58" spans="1:13" ht="12.75">
      <c r="A58" s="52" t="s">
        <v>64</v>
      </c>
      <c r="C58" s="20">
        <v>0.025</v>
      </c>
      <c r="E58" s="21">
        <v>0.52</v>
      </c>
      <c r="F58" s="16">
        <f t="shared" si="8"/>
        <v>58.66774850240574</v>
      </c>
      <c r="H58" s="16">
        <f t="shared" si="12"/>
        <v>2.99</v>
      </c>
      <c r="I58" s="16">
        <f t="shared" si="13"/>
        <v>4.911455995934403</v>
      </c>
      <c r="J58" s="16">
        <f t="shared" si="14"/>
        <v>5.75</v>
      </c>
      <c r="L58" s="17">
        <f t="shared" si="15"/>
        <v>20.79230769230769</v>
      </c>
      <c r="M58" s="22">
        <f t="shared" si="11"/>
        <v>0.9230769230769231</v>
      </c>
    </row>
    <row r="59" spans="1:13" ht="12.75">
      <c r="A59" s="52" t="s">
        <v>65</v>
      </c>
      <c r="C59" s="20">
        <v>0.05</v>
      </c>
      <c r="E59" s="21">
        <v>0.18</v>
      </c>
      <c r="F59" s="16">
        <f t="shared" si="8"/>
        <v>79.63024019452257</v>
      </c>
      <c r="H59" s="16">
        <f t="shared" si="12"/>
        <v>2.07</v>
      </c>
      <c r="I59" s="16">
        <f t="shared" si="13"/>
        <v>11.312166017169302</v>
      </c>
      <c r="J59" s="16">
        <f t="shared" si="14"/>
        <v>11.5</v>
      </c>
      <c r="L59" s="17">
        <f t="shared" si="15"/>
        <v>60.06666666666667</v>
      </c>
      <c r="M59" s="22">
        <f t="shared" si="11"/>
        <v>4.555555555555556</v>
      </c>
    </row>
    <row r="60" spans="1:13" ht="12.75">
      <c r="A60" s="19"/>
      <c r="C60" s="20"/>
      <c r="E60" s="21"/>
      <c r="F60" s="16">
        <f t="shared" si="8"/>
        <v>90</v>
      </c>
      <c r="H60" s="16">
        <f t="shared" si="12"/>
        <v>0</v>
      </c>
      <c r="I60" s="16">
        <f t="shared" si="13"/>
        <v>0</v>
      </c>
      <c r="J60" s="16">
        <f t="shared" si="14"/>
        <v>0</v>
      </c>
      <c r="L60" s="17">
        <f t="shared" si="15"/>
        <v>0</v>
      </c>
      <c r="M60" s="22">
        <f t="shared" si="11"/>
        <v>0</v>
      </c>
    </row>
    <row r="61" spans="1:13" s="45" customFormat="1" ht="12.75">
      <c r="A61" s="44"/>
      <c r="C61" s="46"/>
      <c r="E61" s="47"/>
      <c r="F61" s="48"/>
      <c r="H61" s="49"/>
      <c r="I61" s="49"/>
      <c r="J61" s="48"/>
      <c r="L61" s="49"/>
      <c r="M61" s="50"/>
    </row>
    <row r="62" spans="1:13" s="45" customFormat="1" ht="15.75">
      <c r="A62" s="1" t="s">
        <v>67</v>
      </c>
      <c r="C62" s="46"/>
      <c r="E62" s="47"/>
      <c r="F62" s="48"/>
      <c r="H62" s="49"/>
      <c r="I62" s="49"/>
      <c r="J62" s="48"/>
      <c r="L62" s="49"/>
      <c r="M62" s="50"/>
    </row>
    <row r="63" spans="1:13" s="45" customFormat="1" ht="12.75">
      <c r="A63" s="44"/>
      <c r="C63" s="46"/>
      <c r="E63" s="47"/>
      <c r="F63" s="48"/>
      <c r="H63" s="49"/>
      <c r="I63" s="49"/>
      <c r="J63" s="48"/>
      <c r="L63" s="49"/>
      <c r="M63" s="50"/>
    </row>
    <row r="64" spans="1:13" s="45" customFormat="1" ht="12.75">
      <c r="A64" s="18" t="s">
        <v>55</v>
      </c>
      <c r="B64"/>
      <c r="C64" s="20">
        <v>2.5</v>
      </c>
      <c r="D64"/>
      <c r="E64" s="21">
        <v>0.97</v>
      </c>
      <c r="F64" s="16">
        <f aca="true" t="shared" si="16" ref="F64:F79">ACOS(E64)*180/PI()</f>
        <v>14.069867747572125</v>
      </c>
      <c r="G64"/>
      <c r="H64" s="16">
        <f>F$4*C64*E64</f>
        <v>557.75</v>
      </c>
      <c r="I64" s="16">
        <f>F$4*C64*SIN(ACOS(E64))</f>
        <v>139.785326483147</v>
      </c>
      <c r="J64" s="16">
        <f>SQRT(SUMSQ(H64,I64))</f>
        <v>575</v>
      </c>
      <c r="K64"/>
      <c r="L64" s="17">
        <f>IF(H64,L$5*J64/H64,0)</f>
        <v>11.146391752577319</v>
      </c>
      <c r="M64" s="22">
        <f aca="true" t="shared" si="17" ref="M64:M79">IF(L64,L64/L$5-1,0)</f>
        <v>0.030927835051546504</v>
      </c>
    </row>
    <row r="65" spans="1:13" s="45" customFormat="1" ht="12.75">
      <c r="A65" s="18"/>
      <c r="C65" s="20"/>
      <c r="E65" s="21"/>
      <c r="F65" s="16">
        <f t="shared" si="16"/>
        <v>90</v>
      </c>
      <c r="H65" s="16">
        <f aca="true" t="shared" si="18" ref="H65:H78">F$4*C65*E65</f>
        <v>0</v>
      </c>
      <c r="I65" s="16">
        <f aca="true" t="shared" si="19" ref="I65:I78">F$4*C65*SIN(ACOS(E65))</f>
        <v>0</v>
      </c>
      <c r="J65" s="16">
        <f aca="true" t="shared" si="20" ref="J65:J78">SQRT(SUMSQ(H65,I65))</f>
        <v>0</v>
      </c>
      <c r="L65" s="17">
        <f aca="true" t="shared" si="21" ref="L65:L78">IF(H65,L$5*J65/H65,0)</f>
        <v>0</v>
      </c>
      <c r="M65" s="22">
        <f t="shared" si="17"/>
        <v>0</v>
      </c>
    </row>
    <row r="66" spans="1:13" s="45" customFormat="1" ht="12.75">
      <c r="A66" s="18" t="s">
        <v>73</v>
      </c>
      <c r="B66"/>
      <c r="C66" s="20">
        <v>1.1</v>
      </c>
      <c r="D66"/>
      <c r="E66" s="21">
        <v>0.98</v>
      </c>
      <c r="F66" s="16">
        <f t="shared" si="16"/>
        <v>11.47834095453358</v>
      </c>
      <c r="G66"/>
      <c r="H66" s="16">
        <f t="shared" si="18"/>
        <v>247.94000000000003</v>
      </c>
      <c r="I66" s="16">
        <f t="shared" si="19"/>
        <v>50.346364317595004</v>
      </c>
      <c r="J66" s="16">
        <f t="shared" si="20"/>
        <v>253.00000000000006</v>
      </c>
      <c r="K66"/>
      <c r="L66" s="17">
        <f t="shared" si="21"/>
        <v>11.03265306122449</v>
      </c>
      <c r="M66" s="22">
        <f t="shared" si="17"/>
        <v>0.020408163265306145</v>
      </c>
    </row>
    <row r="67" spans="1:13" ht="12.75">
      <c r="A67" s="18"/>
      <c r="C67" s="20"/>
      <c r="E67" s="21"/>
      <c r="F67" s="16">
        <f t="shared" si="16"/>
        <v>90</v>
      </c>
      <c r="H67" s="16">
        <f t="shared" si="18"/>
        <v>0</v>
      </c>
      <c r="I67" s="16">
        <f t="shared" si="19"/>
        <v>0</v>
      </c>
      <c r="J67" s="16">
        <f t="shared" si="20"/>
        <v>0</v>
      </c>
      <c r="L67" s="17">
        <f t="shared" si="21"/>
        <v>0</v>
      </c>
      <c r="M67" s="22">
        <f t="shared" si="17"/>
        <v>0</v>
      </c>
    </row>
    <row r="68" spans="1:13" ht="12.75">
      <c r="A68" s="18" t="s">
        <v>72</v>
      </c>
      <c r="C68" s="20">
        <v>4.25</v>
      </c>
      <c r="E68" s="21">
        <v>0.95</v>
      </c>
      <c r="F68" s="16">
        <f t="shared" si="16"/>
        <v>18.194872338766785</v>
      </c>
      <c r="H68" s="16">
        <f t="shared" si="18"/>
        <v>928.625</v>
      </c>
      <c r="I68" s="16">
        <f t="shared" si="19"/>
        <v>305.22427717172184</v>
      </c>
      <c r="J68" s="16">
        <f t="shared" si="20"/>
        <v>977.5000000000001</v>
      </c>
      <c r="L68" s="17">
        <f t="shared" si="21"/>
        <v>11.38105263157895</v>
      </c>
      <c r="M68" s="22">
        <f t="shared" si="17"/>
        <v>0.052631578947368585</v>
      </c>
    </row>
    <row r="69" spans="1:13" ht="12.75">
      <c r="A69" s="18"/>
      <c r="C69" s="20"/>
      <c r="E69" s="21"/>
      <c r="F69" s="16">
        <f t="shared" si="16"/>
        <v>90</v>
      </c>
      <c r="H69" s="16">
        <f t="shared" si="18"/>
        <v>0</v>
      </c>
      <c r="I69" s="16">
        <f t="shared" si="19"/>
        <v>0</v>
      </c>
      <c r="J69" s="16">
        <f t="shared" si="20"/>
        <v>0</v>
      </c>
      <c r="L69" s="17">
        <f t="shared" si="21"/>
        <v>0</v>
      </c>
      <c r="M69" s="22">
        <f t="shared" si="17"/>
        <v>0</v>
      </c>
    </row>
    <row r="70" spans="1:13" ht="12.75">
      <c r="A70" s="18" t="s">
        <v>74</v>
      </c>
      <c r="C70" s="20">
        <v>6.2</v>
      </c>
      <c r="E70" s="21">
        <v>0.95</v>
      </c>
      <c r="F70" s="16">
        <f t="shared" si="16"/>
        <v>18.194872338766785</v>
      </c>
      <c r="H70" s="16">
        <f t="shared" si="18"/>
        <v>1354.7</v>
      </c>
      <c r="I70" s="16">
        <f t="shared" si="19"/>
        <v>445.26835728580596</v>
      </c>
      <c r="J70" s="16">
        <f t="shared" si="20"/>
        <v>1426</v>
      </c>
      <c r="L70" s="17">
        <f t="shared" si="21"/>
        <v>11.381052631578946</v>
      </c>
      <c r="M70" s="22">
        <f t="shared" si="17"/>
        <v>0.05263157894736836</v>
      </c>
    </row>
    <row r="71" spans="1:13" ht="12.75">
      <c r="A71" s="18"/>
      <c r="C71" s="20"/>
      <c r="E71" s="21"/>
      <c r="F71" s="16">
        <f t="shared" si="16"/>
        <v>90</v>
      </c>
      <c r="H71" s="16">
        <f t="shared" si="18"/>
        <v>0</v>
      </c>
      <c r="I71" s="16">
        <f t="shared" si="19"/>
        <v>0</v>
      </c>
      <c r="J71" s="16">
        <f t="shared" si="20"/>
        <v>0</v>
      </c>
      <c r="L71" s="17">
        <f t="shared" si="21"/>
        <v>0</v>
      </c>
      <c r="M71" s="22">
        <f t="shared" si="17"/>
        <v>0</v>
      </c>
    </row>
    <row r="72" spans="1:13" ht="12.75">
      <c r="A72" s="18" t="s">
        <v>76</v>
      </c>
      <c r="C72" s="20">
        <v>5.4</v>
      </c>
      <c r="E72" s="21">
        <v>0.92</v>
      </c>
      <c r="F72" s="16">
        <f t="shared" si="16"/>
        <v>23.07391806563096</v>
      </c>
      <c r="H72" s="16">
        <f t="shared" si="18"/>
        <v>1142.64</v>
      </c>
      <c r="I72" s="16">
        <f t="shared" si="19"/>
        <v>486.7626016858728</v>
      </c>
      <c r="J72" s="16">
        <f t="shared" si="20"/>
        <v>1242</v>
      </c>
      <c r="L72" s="17">
        <f t="shared" si="21"/>
        <v>11.752173913043476</v>
      </c>
      <c r="M72" s="22">
        <f t="shared" si="17"/>
        <v>0.08695652173913038</v>
      </c>
    </row>
    <row r="73" spans="1:13" ht="12.75">
      <c r="A73" s="18"/>
      <c r="C73" s="20"/>
      <c r="E73" s="21"/>
      <c r="F73" s="16">
        <f t="shared" si="16"/>
        <v>90</v>
      </c>
      <c r="H73" s="16">
        <f t="shared" si="18"/>
        <v>0</v>
      </c>
      <c r="I73" s="16">
        <f t="shared" si="19"/>
        <v>0</v>
      </c>
      <c r="J73" s="16">
        <f t="shared" si="20"/>
        <v>0</v>
      </c>
      <c r="L73" s="17">
        <f t="shared" si="21"/>
        <v>0</v>
      </c>
      <c r="M73" s="22">
        <f t="shared" si="17"/>
        <v>0</v>
      </c>
    </row>
    <row r="74" spans="1:13" ht="12.75">
      <c r="A74" s="18" t="s">
        <v>75</v>
      </c>
      <c r="C74" s="20">
        <v>0.45</v>
      </c>
      <c r="E74" s="21">
        <v>0.75</v>
      </c>
      <c r="F74" s="16">
        <f t="shared" si="16"/>
        <v>41.409622109270856</v>
      </c>
      <c r="H74" s="16">
        <f t="shared" si="18"/>
        <v>77.625</v>
      </c>
      <c r="I74" s="16">
        <f t="shared" si="19"/>
        <v>68.45881517379627</v>
      </c>
      <c r="J74" s="16">
        <f t="shared" si="20"/>
        <v>103.49999999999999</v>
      </c>
      <c r="L74" s="17">
        <f t="shared" si="21"/>
        <v>14.415999999999997</v>
      </c>
      <c r="M74" s="22">
        <f t="shared" si="17"/>
        <v>0.33333333333333304</v>
      </c>
    </row>
    <row r="75" spans="1:13" ht="12.75">
      <c r="A75" s="18"/>
      <c r="C75" s="20"/>
      <c r="E75" s="21"/>
      <c r="F75" s="16">
        <f t="shared" si="16"/>
        <v>90</v>
      </c>
      <c r="H75" s="16">
        <f t="shared" si="18"/>
        <v>0</v>
      </c>
      <c r="I75" s="16">
        <f t="shared" si="19"/>
        <v>0</v>
      </c>
      <c r="J75" s="16">
        <f t="shared" si="20"/>
        <v>0</v>
      </c>
      <c r="L75" s="17">
        <f t="shared" si="21"/>
        <v>0</v>
      </c>
      <c r="M75" s="22">
        <f t="shared" si="17"/>
        <v>0</v>
      </c>
    </row>
    <row r="76" spans="1:13" ht="12.75">
      <c r="A76" s="18" t="s">
        <v>77</v>
      </c>
      <c r="C76" s="20">
        <v>4</v>
      </c>
      <c r="E76" s="21">
        <v>0.64</v>
      </c>
      <c r="F76" s="16">
        <f t="shared" si="16"/>
        <v>50.208180500442765</v>
      </c>
      <c r="H76" s="16">
        <f t="shared" si="18"/>
        <v>588.8000000000001</v>
      </c>
      <c r="I76" s="16">
        <f t="shared" si="19"/>
        <v>706.9049158125864</v>
      </c>
      <c r="J76" s="16">
        <f t="shared" si="20"/>
        <v>920</v>
      </c>
      <c r="L76" s="17">
        <f t="shared" si="21"/>
        <v>16.893749999999997</v>
      </c>
      <c r="M76" s="22">
        <f t="shared" si="17"/>
        <v>0.5624999999999998</v>
      </c>
    </row>
    <row r="77" spans="1:13" ht="12.75">
      <c r="A77" s="18"/>
      <c r="C77" s="20"/>
      <c r="E77" s="21"/>
      <c r="F77" s="16">
        <f t="shared" si="16"/>
        <v>90</v>
      </c>
      <c r="H77" s="16">
        <f t="shared" si="18"/>
        <v>0</v>
      </c>
      <c r="I77" s="16">
        <f t="shared" si="19"/>
        <v>0</v>
      </c>
      <c r="J77" s="16">
        <f t="shared" si="20"/>
        <v>0</v>
      </c>
      <c r="L77" s="17">
        <f t="shared" si="21"/>
        <v>0</v>
      </c>
      <c r="M77" s="22">
        <f t="shared" si="17"/>
        <v>0</v>
      </c>
    </row>
    <row r="78" spans="1:13" ht="12.75">
      <c r="A78" s="18" t="s">
        <v>78</v>
      </c>
      <c r="C78" s="20">
        <v>3.9</v>
      </c>
      <c r="E78" s="21">
        <v>0.5</v>
      </c>
      <c r="F78" s="16">
        <f t="shared" si="16"/>
        <v>59.99999999999999</v>
      </c>
      <c r="H78" s="16">
        <f t="shared" si="18"/>
        <v>448.5</v>
      </c>
      <c r="I78" s="16">
        <f t="shared" si="19"/>
        <v>776.8247871946414</v>
      </c>
      <c r="J78" s="16">
        <f t="shared" si="20"/>
        <v>897</v>
      </c>
      <c r="L78" s="17">
        <f t="shared" si="21"/>
        <v>21.624</v>
      </c>
      <c r="M78" s="22">
        <f t="shared" si="17"/>
        <v>1</v>
      </c>
    </row>
    <row r="79" spans="1:13" ht="12.75">
      <c r="A79" s="19"/>
      <c r="C79" s="20"/>
      <c r="E79" s="21"/>
      <c r="F79" s="16">
        <f t="shared" si="16"/>
        <v>90</v>
      </c>
      <c r="H79" s="16">
        <f>F$4*C79*E79</f>
        <v>0</v>
      </c>
      <c r="I79" s="16">
        <f>F$4*C79*SIN(ACOS(E79))</f>
        <v>0</v>
      </c>
      <c r="J79" s="16">
        <f>SQRT(SUMSQ(H79,I79))</f>
        <v>0</v>
      </c>
      <c r="L79" s="17">
        <f>IF(H79,L$5*J79/H79,0)</f>
        <v>0</v>
      </c>
      <c r="M79" s="22">
        <f t="shared" si="17"/>
        <v>0</v>
      </c>
    </row>
  </sheetData>
  <sheetProtection sheet="1" objects="1" scenarios="1" selectLockedCells="1"/>
  <mergeCells count="3">
    <mergeCell ref="M5:N5"/>
    <mergeCell ref="H7:J7"/>
    <mergeCell ref="L7:M7"/>
  </mergeCells>
  <conditionalFormatting sqref="M64:M79 M45:M60 M36:M41 M12:M32">
    <cfRule type="cellIs" priority="1" dxfId="0" operator="lessThan" stopIfTrue="1">
      <formula>0.01</formula>
    </cfRule>
    <cfRule type="cellIs" priority="2" dxfId="1" operator="greaterThan" stopIfTrue="1">
      <formula>0.1</formula>
    </cfRule>
    <cfRule type="cellIs" priority="3" dxfId="2" operator="greaterThan" stopIfTrue="1">
      <formula>0.05</formula>
    </cfRule>
  </conditionalFormatting>
  <conditionalFormatting sqref="F34:F79 F12:F32">
    <cfRule type="cellIs" priority="4" dxfId="0" operator="equal" stopIfTrue="1">
      <formula>90</formula>
    </cfRule>
  </conditionalFormatting>
  <conditionalFormatting sqref="M61:M63">
    <cfRule type="cellIs" priority="5" dxfId="0" operator="lessThan" stopIfTrue="1">
      <formula>0.05</formula>
    </cfRule>
    <cfRule type="cellIs" priority="6" dxfId="1" operator="greaterThan" stopIfTrue="1">
      <formula>0.1</formula>
    </cfRule>
    <cfRule type="cellIs" priority="7" dxfId="2" operator="greaterThan" stopIfTrue="1">
      <formula>0.05</formula>
    </cfRule>
  </conditionalFormatting>
  <conditionalFormatting sqref="M43:M44 M34:M35">
    <cfRule type="cellIs" priority="8" dxfId="0" operator="lessThan" stopIfTrue="1">
      <formula>1.05</formula>
    </cfRule>
    <cfRule type="cellIs" priority="9" dxfId="1" operator="greaterThan" stopIfTrue="1">
      <formula>1.1</formula>
    </cfRule>
    <cfRule type="cellIs" priority="10" dxfId="2" operator="greaterThan" stopIfTrue="1">
      <formula>1.05</formula>
    </cfRule>
  </conditionalFormatting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bitwyse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Christophe Ross</dc:creator>
  <cp:keywords/>
  <dc:description/>
  <cp:lastModifiedBy> Christophe Ross</cp:lastModifiedBy>
  <cp:lastPrinted>2018-01-06T20:14:47Z</cp:lastPrinted>
  <dcterms:created xsi:type="dcterms:W3CDTF">2018-01-05T13:41:15Z</dcterms:created>
  <dcterms:modified xsi:type="dcterms:W3CDTF">2019-07-13T10:37:25Z</dcterms:modified>
  <cp:category/>
  <cp:version/>
  <cp:contentType/>
  <cp:contentStatus/>
</cp:coreProperties>
</file>